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779" activeTab="0"/>
  </bookViews>
  <sheets>
    <sheet name="декабрь скоррект планы последне" sheetId="1" r:id="rId1"/>
  </sheets>
  <definedNames>
    <definedName name="Excel_BuiltIn_Print_Area_1_1">"$#ССЫЛ!.$A$1:$P$47"</definedName>
    <definedName name="Excel_BuiltIn_Print_Area_15_1">"$#ССЫЛ!.$A$1:$O$67"</definedName>
    <definedName name="Excel_BuiltIn_Print_Area_17_1">"$#ССЫЛ!.$A$1:$O$67"</definedName>
    <definedName name="Excel_BuiltIn_Print_Area_19_1">"$#ССЫЛ!.$A$1:$O$93"</definedName>
    <definedName name="Excel_BuiltIn_Print_Area_2">#REF!</definedName>
    <definedName name="Excel_BuiltIn_Print_Area_2_1">#REF!</definedName>
    <definedName name="Excel_BuiltIn_Print_Area_23_1">"$#ССЫЛ!.$A$1:$O$67"</definedName>
    <definedName name="Excel_BuiltIn_Print_Area_25">"$#ССЫЛ!.$A$1:$O$65"</definedName>
    <definedName name="Excel_BuiltIn_Print_Area_26">"$#ССЫЛ!.$A$1:$O$65"</definedName>
    <definedName name="Excel_BuiltIn_Print_Area_48">"$#ССЫЛ!.$A$1:$I$62"</definedName>
    <definedName name="Excel_BuiltIn_Print_Area_7_1">"$#ССЫЛ!.$A$1:$O$67"</definedName>
    <definedName name="_xlnm.Print_Area" localSheetId="0">'декабрь скоррект планы последне'!$A$1:$AY$49</definedName>
  </definedNames>
  <calcPr fullCalcOnLoad="1"/>
</workbook>
</file>

<file path=xl/comments1.xml><?xml version="1.0" encoding="utf-8"?>
<comments xmlns="http://schemas.openxmlformats.org/spreadsheetml/2006/main">
  <authors>
    <author/>
    <author>user</author>
  </authors>
  <commentList>
    <comment ref="E8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 xml:space="preserve">корректирован за счет Ливен -200т.р.
</t>
        </r>
      </text>
    </comment>
    <comment ref="S8" authorId="0">
      <text>
        <r>
          <rPr>
            <b/>
            <sz val="9"/>
            <color indexed="8"/>
            <rFont val="Tahoma"/>
            <family val="2"/>
          </rPr>
          <t xml:space="preserve">PTO-ElenaPerkova:
</t>
        </r>
        <r>
          <rPr>
            <sz val="9"/>
            <color indexed="8"/>
            <rFont val="Tahoma"/>
            <family val="2"/>
          </rPr>
          <t>перенести 25 из Залег.МФ; 19 из Ливенского МФ</t>
        </r>
      </text>
    </comment>
    <comment ref="G9" authorId="0">
      <text>
        <r>
          <rPr>
            <b/>
            <sz val="9"/>
            <color indexed="8"/>
            <rFont val="Tahoma"/>
            <family val="2"/>
          </rPr>
          <t xml:space="preserve">PTO-ElenaPerkova:
</t>
        </r>
        <r>
          <rPr>
            <sz val="9"/>
            <color indexed="8"/>
            <rFont val="Tahoma"/>
            <family val="2"/>
          </rPr>
          <t>Служебная на перенос</t>
        </r>
      </text>
    </comment>
    <comment ref="Q9" authorId="0">
      <text>
        <r>
          <rPr>
            <b/>
            <sz val="9"/>
            <color indexed="8"/>
            <rFont val="Tahoma"/>
            <family val="2"/>
          </rPr>
          <t xml:space="preserve">PTO-ElenaPerkova:
</t>
        </r>
        <r>
          <rPr>
            <sz val="9"/>
            <color indexed="8"/>
            <rFont val="Tahoma"/>
            <family val="2"/>
          </rPr>
          <t xml:space="preserve">перенесли РП 03 на сентябрь 65 тыс.руб - 1шт.
</t>
        </r>
      </text>
    </comment>
    <comment ref="AD9" authorId="0">
      <text>
        <r>
          <rPr>
            <b/>
            <sz val="9"/>
            <color indexed="8"/>
            <rFont val="Tahoma"/>
            <family val="2"/>
          </rPr>
          <t xml:space="preserve">PTO-ElenaPerkova:
</t>
        </r>
        <r>
          <rPr>
            <sz val="9"/>
            <color indexed="8"/>
            <rFont val="Tahoma"/>
            <family val="2"/>
          </rPr>
          <t>в январе мероприятие декабря 2012 года</t>
        </r>
      </text>
    </comment>
    <comment ref="AV9" authorId="0">
      <text>
        <r>
          <rPr>
            <b/>
            <sz val="9"/>
            <color indexed="8"/>
            <rFont val="Tahoma"/>
            <family val="2"/>
          </rPr>
          <t xml:space="preserve">PTO-ElenaPerkova:
</t>
        </r>
      </text>
    </comment>
    <comment ref="S10" authorId="0">
      <text>
        <r>
          <rPr>
            <b/>
            <sz val="9"/>
            <color indexed="8"/>
            <rFont val="Tahoma"/>
            <family val="2"/>
          </rPr>
          <t xml:space="preserve">PTO-ElenaPerkova:
</t>
        </r>
        <r>
          <rPr>
            <sz val="9"/>
            <color indexed="8"/>
            <rFont val="Tahoma"/>
            <family val="2"/>
          </rPr>
          <t xml:space="preserve">Учет в ТП 129;
Аратцев списал счётчик:                 Учёт в ТП 034  
РП-24
</t>
        </r>
      </text>
    </comment>
    <comment ref="AM10" authorId="0">
      <text>
        <r>
          <rPr>
            <b/>
            <sz val="9"/>
            <color indexed="8"/>
            <rFont val="Tahoma"/>
            <family val="2"/>
          </rPr>
          <t xml:space="preserve">PTO-ElenaPerkova:
</t>
        </r>
        <r>
          <rPr>
            <sz val="9"/>
            <color indexed="8"/>
            <rFont val="Tahoma"/>
            <family val="2"/>
          </rPr>
          <t xml:space="preserve">Корректировка мая месяца на 120.758 - было внесено благоустройство  по КЛ - перенесли в тек.рем.КЛ                 В августе не прошёл акт Тарасова по строит. Части на 4.595
</t>
        </r>
      </text>
    </comment>
    <comment ref="E14" authorId="0">
      <text>
        <r>
          <rPr>
            <b/>
            <sz val="9"/>
            <color indexed="8"/>
            <rFont val="Tahoma"/>
            <family val="2"/>
          </rPr>
          <t xml:space="preserve">PTO-ElenaPerkova:
</t>
        </r>
        <r>
          <rPr>
            <sz val="9"/>
            <color indexed="8"/>
            <rFont val="Tahoma"/>
            <family val="2"/>
          </rPr>
          <t>перенести 155 в Залегощь</t>
        </r>
      </text>
    </comment>
    <comment ref="E17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 xml:space="preserve">скорректирован для Орла +200т.р., в дек. -200 для премии
</t>
        </r>
      </text>
    </comment>
    <comment ref="K17" authorId="0">
      <text>
        <r>
          <rPr>
            <b/>
            <sz val="9"/>
            <color indexed="8"/>
            <rFont val="Tahoma"/>
            <family val="2"/>
          </rPr>
          <t xml:space="preserve">PTO-ElenaPerkova:
</t>
        </r>
        <r>
          <rPr>
            <sz val="9"/>
            <color indexed="8"/>
            <rFont val="Tahoma"/>
            <family val="2"/>
          </rPr>
          <t>12 перенести в Верховский МФ</t>
        </r>
      </text>
    </comment>
    <comment ref="S17" authorId="0">
      <text>
        <r>
          <rPr>
            <b/>
            <sz val="9"/>
            <color indexed="8"/>
            <rFont val="Tahoma"/>
            <family val="2"/>
          </rPr>
          <t xml:space="preserve">PTO-ElenaPerkova:
</t>
        </r>
        <r>
          <rPr>
            <sz val="9"/>
            <color indexed="8"/>
            <rFont val="Tahoma"/>
            <family val="2"/>
          </rPr>
          <t>перенести 18 в Верх.МФ; 13 в Змиёвск МФ; 19 в Орёл</t>
        </r>
      </text>
    </comment>
    <comment ref="O18" authorId="0">
      <text>
        <r>
          <rPr>
            <b/>
            <sz val="9"/>
            <color indexed="8"/>
            <rFont val="Tahoma"/>
            <family val="2"/>
          </rPr>
          <t xml:space="preserve">PTO-ElenaPerkova:
</t>
        </r>
        <r>
          <rPr>
            <sz val="9"/>
            <color indexed="8"/>
            <rFont val="Tahoma"/>
            <family val="2"/>
          </rPr>
          <t>перенести</t>
        </r>
      </text>
    </comment>
    <comment ref="AI18" authorId="0">
      <text>
        <r>
          <rPr>
            <b/>
            <sz val="9"/>
            <color indexed="8"/>
            <rFont val="Tahoma"/>
            <family val="2"/>
          </rPr>
          <t xml:space="preserve">PTO-ElenaPerkova:
</t>
        </r>
        <r>
          <rPr>
            <sz val="9"/>
            <color indexed="8"/>
            <rFont val="Tahoma"/>
            <family val="2"/>
          </rPr>
          <t>Служебная</t>
        </r>
      </text>
    </comment>
    <comment ref="F20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корректировка для Болхова =0,16км</t>
        </r>
      </text>
    </comment>
    <comment ref="K20" authorId="0">
      <text>
        <r>
          <rPr>
            <b/>
            <sz val="9"/>
            <color indexed="8"/>
            <rFont val="Tahoma"/>
            <family val="2"/>
          </rPr>
          <t xml:space="preserve">PTO-ElenaPerkova:
</t>
        </r>
        <r>
          <rPr>
            <sz val="9"/>
            <color indexed="8"/>
            <rFont val="Tahoma"/>
            <family val="2"/>
          </rPr>
          <t>добовить 12 из Ливенского МФ</t>
        </r>
      </text>
    </comment>
    <comment ref="S20" authorId="0">
      <text>
        <r>
          <rPr>
            <b/>
            <sz val="9"/>
            <color indexed="8"/>
            <rFont val="Tahoma"/>
            <family val="2"/>
          </rPr>
          <t xml:space="preserve">PTO-ElenaPerkova:
</t>
        </r>
        <r>
          <rPr>
            <sz val="9"/>
            <color indexed="8"/>
            <rFont val="Tahoma"/>
            <family val="2"/>
          </rPr>
          <t>18 перенести из Ливенского МФ</t>
        </r>
      </text>
    </comment>
    <comment ref="AN20" authorId="0">
      <text>
        <r>
          <rPr>
            <b/>
            <sz val="9"/>
            <color indexed="8"/>
            <rFont val="Tahoma"/>
            <family val="2"/>
          </rPr>
          <t xml:space="preserve">PTO-ElenaPerkova:
</t>
        </r>
        <r>
          <rPr>
            <sz val="9"/>
            <color indexed="8"/>
            <rFont val="Tahoma"/>
            <family val="2"/>
          </rPr>
          <t>перенести по служебной на приборы учёта 8тыс.</t>
        </r>
      </text>
    </comment>
    <comment ref="E2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корректировка для премии Ливен +200
</t>
        </r>
      </text>
    </comment>
    <comment ref="K23" authorId="0">
      <text>
        <r>
          <rPr>
            <b/>
            <sz val="9"/>
            <color indexed="8"/>
            <rFont val="Tahoma"/>
            <family val="2"/>
          </rPr>
          <t xml:space="preserve">PTO-ElenaPerkova:
</t>
        </r>
        <r>
          <rPr>
            <sz val="9"/>
            <color indexed="8"/>
            <rFont val="Tahoma"/>
            <family val="2"/>
          </rPr>
          <t>Добавить 16 из Нарышкинского МФ</t>
        </r>
      </text>
    </comment>
    <comment ref="S23" authorId="0">
      <text>
        <r>
          <rPr>
            <b/>
            <sz val="9"/>
            <color indexed="8"/>
            <rFont val="Tahoma"/>
            <family val="2"/>
          </rPr>
          <t xml:space="preserve">PTO-ElenaPerkova:
</t>
        </r>
        <r>
          <rPr>
            <sz val="9"/>
            <color indexed="8"/>
            <rFont val="Tahoma"/>
            <family val="2"/>
          </rPr>
          <t>13 перенести из Ливенского МФ</t>
        </r>
      </text>
    </comment>
    <comment ref="K26" authorId="0">
      <text>
        <r>
          <rPr>
            <b/>
            <sz val="9"/>
            <color indexed="8"/>
            <rFont val="Tahoma"/>
            <family val="2"/>
          </rPr>
          <t xml:space="preserve">PTO-ElenaPerkova:
</t>
        </r>
        <r>
          <rPr>
            <sz val="9"/>
            <color indexed="8"/>
            <rFont val="Tahoma"/>
            <family val="2"/>
          </rPr>
          <t>перенести 16 в Змиёвский МФ</t>
        </r>
      </text>
    </comment>
    <comment ref="E29" authorId="0">
      <text>
        <r>
          <rPr>
            <b/>
            <sz val="9"/>
            <color indexed="8"/>
            <rFont val="Tahoma"/>
            <family val="2"/>
          </rPr>
          <t xml:space="preserve">PTO-ElenaPerkova:
</t>
        </r>
        <r>
          <rPr>
            <sz val="9"/>
            <color indexed="8"/>
            <rFont val="Tahoma"/>
            <family val="2"/>
          </rPr>
          <t>перенести из Знаменского 155</t>
        </r>
      </text>
    </comment>
    <comment ref="S29" authorId="0">
      <text>
        <r>
          <rPr>
            <b/>
            <sz val="9"/>
            <color indexed="8"/>
            <rFont val="Tahoma"/>
            <family val="2"/>
          </rPr>
          <t xml:space="preserve">PTO-ElenaPerkova:
</t>
        </r>
        <r>
          <rPr>
            <sz val="9"/>
            <color indexed="8"/>
            <rFont val="Tahoma"/>
            <family val="2"/>
          </rPr>
          <t>25 перенести в Орёл</t>
        </r>
      </text>
    </comment>
    <comment ref="AJ32" authorId="0">
      <text>
        <r>
          <rPr>
            <b/>
            <sz val="9"/>
            <color indexed="8"/>
            <rFont val="Tahoma"/>
            <family val="2"/>
          </rPr>
          <t xml:space="preserve">PTO-ElenaPerkova:
</t>
        </r>
        <r>
          <rPr>
            <sz val="9"/>
            <color indexed="8"/>
            <rFont val="Tahoma"/>
            <family val="2"/>
          </rPr>
          <t>35 перенести в тек. Рем. Приб. учета</t>
        </r>
      </text>
    </comment>
    <comment ref="AN32" authorId="0">
      <text>
        <r>
          <rPr>
            <b/>
            <sz val="9"/>
            <color indexed="8"/>
            <rFont val="Tahoma"/>
            <family val="2"/>
          </rPr>
          <t xml:space="preserve">PTO-ElenaPerkova:
</t>
        </r>
        <r>
          <rPr>
            <sz val="9"/>
            <color indexed="8"/>
            <rFont val="Tahoma"/>
            <family val="2"/>
          </rPr>
          <t>40 перенесли вприборы учёта</t>
        </r>
      </text>
    </comment>
    <comment ref="AO32" authorId="0">
      <text>
        <r>
          <rPr>
            <b/>
            <sz val="9"/>
            <color indexed="8"/>
            <rFont val="Tahoma"/>
            <family val="2"/>
          </rPr>
          <t xml:space="preserve">PTO-ElenaPerkova:
</t>
        </r>
        <r>
          <rPr>
            <sz val="9"/>
            <color indexed="8"/>
            <rFont val="Tahoma"/>
            <family val="2"/>
          </rPr>
          <t>перенести 35 тыс. из капитального ремонта эл. оборуд. И 40 из тек. Рем. 20 в июле и 20 в авг.</t>
        </r>
      </text>
    </comment>
  </commentList>
</comments>
</file>

<file path=xl/sharedStrings.xml><?xml version="1.0" encoding="utf-8"?>
<sst xmlns="http://schemas.openxmlformats.org/spreadsheetml/2006/main" count="187" uniqueCount="76">
  <si>
    <t xml:space="preserve">ПОКАЗАТЕЛИ       ВЫПОЛНЕНИЯ </t>
  </si>
  <si>
    <t>№ п/п</t>
  </si>
  <si>
    <t>Предприя-тие</t>
  </si>
  <si>
    <t>Показатели</t>
  </si>
  <si>
    <t xml:space="preserve">И Н В Е С Т И Ц И И </t>
  </si>
  <si>
    <t>Р Е М О Н Т Н Ы Е   Р А Б О Т Ы</t>
  </si>
  <si>
    <r>
      <t xml:space="preserve"> ВСЕГО                        </t>
    </r>
    <r>
      <rPr>
        <sz val="12"/>
        <rFont val="Times New Roman"/>
        <family val="1"/>
      </rPr>
      <t>ПО ИНВЕСТИЦИОН-НЫМ И РЕМОНТНЫМ РАБОТАМ</t>
    </r>
  </si>
  <si>
    <t xml:space="preserve">Реконструкция  </t>
  </si>
  <si>
    <t>Техническое перевооружение</t>
  </si>
  <si>
    <t>Новое строи-тельство</t>
  </si>
  <si>
    <r>
      <t xml:space="preserve">ИТОГО </t>
    </r>
    <r>
      <rPr>
        <sz val="12"/>
        <rFont val="Times New Roman"/>
        <family val="1"/>
      </rPr>
      <t>ИНВЕС-ТИЦИИ</t>
    </r>
  </si>
  <si>
    <t xml:space="preserve">Капитальный </t>
  </si>
  <si>
    <t>Текущий</t>
  </si>
  <si>
    <r>
      <t xml:space="preserve">ИТОГО </t>
    </r>
    <r>
      <rPr>
        <sz val="12"/>
        <rFont val="Times New Roman"/>
        <family val="1"/>
      </rPr>
      <t>КАПИ-ТАЛЬ-НЫЙ  И ТЕКУ-ЩИЙ РЕМОН-ТЫ</t>
    </r>
  </si>
  <si>
    <t>Подрядные работы</t>
  </si>
  <si>
    <t>ВЛ с применением СИП</t>
  </si>
  <si>
    <t xml:space="preserve">КЛ </t>
  </si>
  <si>
    <t>Замена МВ на ВВ</t>
  </si>
  <si>
    <t>Замена силовых трансфор-маторов</t>
  </si>
  <si>
    <t>Замена оборудования РУ 6 /10 /0,4 кВ</t>
  </si>
  <si>
    <t>Установка реклоузеров</t>
  </si>
  <si>
    <t>Установка микропро-цессорной защиты и автоматики в РП</t>
  </si>
  <si>
    <t>Построение АИИС КУЭ в распред.сетях 6/10 кВ по пи-тающим центрам</t>
  </si>
  <si>
    <t>Построение АСКУЭ в распред.сетях 0,4 кВ на вводах  в ТП и ВРУ</t>
  </si>
  <si>
    <t xml:space="preserve"> АСУП  ОАО «Орелоблэ-нерго» на базе ПО "Модус"</t>
  </si>
  <si>
    <t>Оснащение обору-дованием, спецтехни-кой и при-борами</t>
  </si>
  <si>
    <t>ВЛ</t>
  </si>
  <si>
    <t>КЛ</t>
  </si>
  <si>
    <t>ТП, РП</t>
  </si>
  <si>
    <t>ВЛ, КЛ</t>
  </si>
  <si>
    <t>ремонт КЛ</t>
  </si>
  <si>
    <t>Строитель-ная  часть ТП, РП</t>
  </si>
  <si>
    <t>строительная  часть</t>
  </si>
  <si>
    <t>элект-рообору-дование</t>
  </si>
  <si>
    <t xml:space="preserve">строит. часть </t>
  </si>
  <si>
    <t>элект-рооборудо-вание</t>
  </si>
  <si>
    <t>замена приборов учета</t>
  </si>
  <si>
    <t>км</t>
  </si>
  <si>
    <t>тыс.руб.</t>
  </si>
  <si>
    <t>шт.</t>
  </si>
  <si>
    <t>шт</t>
  </si>
  <si>
    <t>тыс.руб</t>
  </si>
  <si>
    <t>тыс. руб.</t>
  </si>
  <si>
    <t>Орел</t>
  </si>
  <si>
    <t>план на год</t>
  </si>
  <si>
    <t>на отч.период</t>
  </si>
  <si>
    <t>выполнение</t>
  </si>
  <si>
    <t>Болхов</t>
  </si>
  <si>
    <t>Знаменское</t>
  </si>
  <si>
    <t xml:space="preserve">Ливны </t>
  </si>
  <si>
    <t xml:space="preserve">Верховье </t>
  </si>
  <si>
    <t>Змиевка</t>
  </si>
  <si>
    <t xml:space="preserve">Нарышкино </t>
  </si>
  <si>
    <t>Залегощь</t>
  </si>
  <si>
    <t xml:space="preserve">Кромы </t>
  </si>
  <si>
    <t>ИТОГО:</t>
  </si>
  <si>
    <t>РАЗНИЦА</t>
  </si>
  <si>
    <t>Осталось выполнить до конца года</t>
  </si>
  <si>
    <t>Инвестиции без но-вого стр</t>
  </si>
  <si>
    <t>Инвестиции ВСЕГО</t>
  </si>
  <si>
    <t>Кап. Рем.</t>
  </si>
  <si>
    <t>Подряд</t>
  </si>
  <si>
    <t>Ремонты всего</t>
  </si>
  <si>
    <t xml:space="preserve"> Начальник  ПТО                                                                                                                                                                                                                              Г.В. Щеголева</t>
  </si>
  <si>
    <t>%</t>
  </si>
  <si>
    <r>
      <t xml:space="preserve">ИТОГО </t>
    </r>
    <r>
      <rPr>
        <sz val="12"/>
        <rFont val="Times New Roman"/>
        <family val="1"/>
      </rPr>
      <t>КАПИ-ТАЛЬ-НЫЙ РЕ-МОНТ</t>
    </r>
  </si>
  <si>
    <r>
      <t xml:space="preserve">ИТОГО </t>
    </r>
    <r>
      <rPr>
        <sz val="12"/>
        <rFont val="Times New Roman"/>
        <family val="1"/>
      </rPr>
      <t>ТЕКУ-ЩИЙ РЕ-МОНТ</t>
    </r>
  </si>
  <si>
    <r>
      <t xml:space="preserve">ИТОГО </t>
    </r>
    <r>
      <rPr>
        <sz val="12"/>
        <rFont val="Times New Roman"/>
        <family val="1"/>
      </rPr>
      <t>ПОДРЯД</t>
    </r>
  </si>
  <si>
    <t>итого</t>
  </si>
  <si>
    <t>инв.</t>
  </si>
  <si>
    <t>рем.</t>
  </si>
  <si>
    <t>В ОТЧЕТЕ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</si>
  <si>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</si>
  <si>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</si>
  <si>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инвестиционных  и  ремонтных   работ   за   январь - декабрь  2013 года (тыс.руб. без учета НДС)</t>
  </si>
  <si>
    <t xml:space="preserve">инвестиционных  и  ремонтных   работ   за  январь - декабрь  2013 года (тыс.руб. без учета НДС)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</si>
</sst>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4">
    <font>
      <sz val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18" borderId="0" xfId="0" applyFont="1" applyFill="1" applyAlignment="1">
      <alignment horizontal="center" vertical="center" wrapText="1"/>
    </xf>
    <xf numFmtId="164" fontId="2" fillId="18" borderId="0" xfId="0" applyNumberFormat="1" applyFont="1" applyFill="1" applyAlignment="1">
      <alignment horizontal="center" vertical="center" wrapText="1"/>
    </xf>
    <xf numFmtId="0" fontId="4" fillId="18" borderId="0" xfId="0" applyFont="1" applyFill="1" applyAlignment="1">
      <alignment horizontal="center" vertical="center" wrapText="1"/>
    </xf>
    <xf numFmtId="1" fontId="2" fillId="18" borderId="0" xfId="0" applyNumberFormat="1" applyFont="1" applyFill="1" applyAlignment="1">
      <alignment horizontal="center" vertical="center" wrapText="1"/>
    </xf>
    <xf numFmtId="165" fontId="2" fillId="18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6" fontId="2" fillId="18" borderId="0" xfId="0" applyNumberFormat="1" applyFont="1" applyFill="1" applyAlignment="1">
      <alignment horizontal="center" vertical="center" wrapText="1"/>
    </xf>
    <xf numFmtId="2" fontId="2" fillId="18" borderId="0" xfId="0" applyNumberFormat="1" applyFont="1" applyFill="1" applyAlignment="1">
      <alignment horizontal="center" vertical="center" wrapText="1"/>
    </xf>
    <xf numFmtId="165" fontId="4" fillId="18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C62"/>
  <sheetViews>
    <sheetView tabSelected="1" view="pageBreakPreview" zoomScale="80" zoomScaleSheetLayoutView="80" workbookViewId="0" topLeftCell="X1">
      <selection activeCell="AL25" sqref="AL25"/>
    </sheetView>
  </sheetViews>
  <sheetFormatPr defaultColWidth="9.33203125" defaultRowHeight="12.75"/>
  <cols>
    <col min="1" max="1" width="4.33203125" style="1" customWidth="1"/>
    <col min="2" max="2" width="14.83203125" style="1" customWidth="1"/>
    <col min="3" max="3" width="18.5" style="1" customWidth="1"/>
    <col min="4" max="4" width="10.66015625" style="1" customWidth="1"/>
    <col min="5" max="5" width="14" style="1" customWidth="1"/>
    <col min="6" max="6" width="8.16015625" style="1" customWidth="1"/>
    <col min="7" max="7" width="12.5" style="1" customWidth="1"/>
    <col min="8" max="8" width="4.83203125" style="1" customWidth="1"/>
    <col min="9" max="9" width="12.16015625" style="1" customWidth="1"/>
    <col min="10" max="10" width="4.83203125" style="1" customWidth="1"/>
    <col min="11" max="11" width="12.66015625" style="1" customWidth="1"/>
    <col min="12" max="12" width="5.16015625" style="1" customWidth="1"/>
    <col min="13" max="13" width="11.83203125" style="1" customWidth="1"/>
    <col min="14" max="14" width="4.83203125" style="1" customWidth="1"/>
    <col min="15" max="15" width="11.83203125" style="1" customWidth="1"/>
    <col min="16" max="16" width="5.16015625" style="1" customWidth="1"/>
    <col min="17" max="17" width="11.16015625" style="1" customWidth="1"/>
    <col min="18" max="18" width="5.16015625" style="1" customWidth="1"/>
    <col min="19" max="19" width="12.66015625" style="1" customWidth="1"/>
    <col min="20" max="20" width="5.66015625" style="1" customWidth="1"/>
    <col min="21" max="21" width="11.83203125" style="1" customWidth="1"/>
    <col min="22" max="22" width="15" style="1" customWidth="1"/>
    <col min="23" max="23" width="13.66015625" style="1" customWidth="1"/>
    <col min="24" max="24" width="15.5" style="1" customWidth="1"/>
    <col min="25" max="25" width="15.16015625" style="1" customWidth="1"/>
    <col min="26" max="26" width="7.66015625" style="1" customWidth="1"/>
    <col min="27" max="27" width="4.33203125" style="1" customWidth="1"/>
    <col min="28" max="28" width="14.83203125" style="1" customWidth="1"/>
    <col min="29" max="29" width="18.16015625" style="1" customWidth="1"/>
    <col min="30" max="30" width="9" style="1" customWidth="1"/>
    <col min="31" max="31" width="13.33203125" style="1" customWidth="1"/>
    <col min="32" max="32" width="8.83203125" style="1" customWidth="1"/>
    <col min="33" max="33" width="12.16015625" style="1" customWidth="1"/>
    <col min="34" max="34" width="4.5" style="1" customWidth="1"/>
    <col min="35" max="35" width="12" style="1" customWidth="1"/>
    <col min="36" max="36" width="12.16015625" style="1" customWidth="1"/>
    <col min="37" max="38" width="13.33203125" style="1" customWidth="1"/>
    <col min="39" max="39" width="10.83203125" style="1" customWidth="1"/>
    <col min="40" max="40" width="14.33203125" style="1" customWidth="1"/>
    <col min="41" max="41" width="11.33203125" style="1" customWidth="1"/>
    <col min="42" max="42" width="13.33203125" style="1" customWidth="1"/>
    <col min="43" max="43" width="13.66015625" style="1" customWidth="1"/>
    <col min="44" max="44" width="5.66015625" style="1" customWidth="1"/>
    <col min="45" max="45" width="6.16015625" style="1" customWidth="1"/>
    <col min="46" max="46" width="10.83203125" style="1" customWidth="1"/>
    <col min="47" max="47" width="4.5" style="1" customWidth="1"/>
    <col min="48" max="48" width="10.83203125" style="1" customWidth="1"/>
    <col min="49" max="49" width="12.5" style="1" customWidth="1"/>
    <col min="50" max="50" width="9.83203125" style="1" customWidth="1"/>
    <col min="51" max="51" width="15.5" style="1" customWidth="1"/>
    <col min="52" max="52" width="17.33203125" style="1" customWidth="1"/>
    <col min="53" max="53" width="16.66015625" style="1" customWidth="1"/>
    <col min="54" max="56" width="17.33203125" style="1" customWidth="1"/>
    <col min="57" max="16384" width="9.33203125" style="1" customWidth="1"/>
  </cols>
  <sheetData>
    <row r="1" spans="1:55" s="6" customFormat="1" ht="21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7"/>
      <c r="AB1" s="7"/>
      <c r="AC1" s="7"/>
      <c r="AD1" s="64" t="s">
        <v>0</v>
      </c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7"/>
      <c r="BA1" s="7"/>
      <c r="BB1" s="7"/>
      <c r="BC1" s="7"/>
    </row>
    <row r="2" spans="1:55" s="6" customFormat="1" ht="28.5" customHeight="1">
      <c r="A2" s="68" t="s">
        <v>74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9" t="s">
        <v>75</v>
      </c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7"/>
      <c r="BA2" s="7"/>
      <c r="BB2" s="7"/>
      <c r="BC2" s="7"/>
    </row>
    <row r="3" spans="1:51" s="6" customFormat="1" ht="21.75" customHeight="1">
      <c r="A3" s="66" t="s">
        <v>1</v>
      </c>
      <c r="B3" s="66" t="s">
        <v>2</v>
      </c>
      <c r="C3" s="66" t="s">
        <v>3</v>
      </c>
      <c r="D3" s="61" t="s">
        <v>4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 t="s">
        <v>64</v>
      </c>
      <c r="AA3" s="66" t="s">
        <v>1</v>
      </c>
      <c r="AB3" s="66" t="s">
        <v>2</v>
      </c>
      <c r="AC3" s="66" t="s">
        <v>3</v>
      </c>
      <c r="AD3" s="61" t="s">
        <v>5</v>
      </c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 t="s">
        <v>6</v>
      </c>
      <c r="AY3" s="61"/>
    </row>
    <row r="4" spans="1:51" s="6" customFormat="1" ht="21" customHeight="1">
      <c r="A4" s="66"/>
      <c r="B4" s="66"/>
      <c r="C4" s="66"/>
      <c r="D4" s="66" t="s">
        <v>7</v>
      </c>
      <c r="E4" s="66"/>
      <c r="F4" s="66"/>
      <c r="G4" s="66"/>
      <c r="H4" s="66" t="s">
        <v>8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 t="s">
        <v>9</v>
      </c>
      <c r="Y4" s="61" t="s">
        <v>10</v>
      </c>
      <c r="Z4" s="61"/>
      <c r="AA4" s="66"/>
      <c r="AB4" s="66"/>
      <c r="AC4" s="66"/>
      <c r="AD4" s="66" t="s">
        <v>11</v>
      </c>
      <c r="AE4" s="66"/>
      <c r="AF4" s="66"/>
      <c r="AG4" s="66"/>
      <c r="AH4" s="66"/>
      <c r="AI4" s="66"/>
      <c r="AJ4" s="66"/>
      <c r="AK4" s="66"/>
      <c r="AL4" s="66" t="s">
        <v>12</v>
      </c>
      <c r="AM4" s="66"/>
      <c r="AN4" s="66"/>
      <c r="AO4" s="66"/>
      <c r="AP4" s="66"/>
      <c r="AQ4" s="61" t="s">
        <v>13</v>
      </c>
      <c r="AR4" s="61" t="s">
        <v>64</v>
      </c>
      <c r="AS4" s="66" t="s">
        <v>14</v>
      </c>
      <c r="AT4" s="66"/>
      <c r="AU4" s="66"/>
      <c r="AV4" s="66"/>
      <c r="AW4" s="66"/>
      <c r="AX4" s="61"/>
      <c r="AY4" s="61"/>
    </row>
    <row r="5" spans="1:51" s="6" customFormat="1" ht="45.75" customHeight="1">
      <c r="A5" s="66"/>
      <c r="B5" s="66"/>
      <c r="C5" s="66"/>
      <c r="D5" s="66" t="s">
        <v>15</v>
      </c>
      <c r="E5" s="66"/>
      <c r="F5" s="66" t="s">
        <v>16</v>
      </c>
      <c r="G5" s="66"/>
      <c r="H5" s="66" t="s">
        <v>17</v>
      </c>
      <c r="I5" s="66"/>
      <c r="J5" s="66" t="s">
        <v>18</v>
      </c>
      <c r="K5" s="66"/>
      <c r="L5" s="66" t="s">
        <v>19</v>
      </c>
      <c r="M5" s="66"/>
      <c r="N5" s="66" t="s">
        <v>20</v>
      </c>
      <c r="O5" s="66"/>
      <c r="P5" s="66" t="s">
        <v>21</v>
      </c>
      <c r="Q5" s="66"/>
      <c r="R5" s="66" t="s">
        <v>22</v>
      </c>
      <c r="S5" s="66"/>
      <c r="T5" s="66" t="s">
        <v>23</v>
      </c>
      <c r="U5" s="66"/>
      <c r="V5" s="66" t="s">
        <v>24</v>
      </c>
      <c r="W5" s="66" t="s">
        <v>25</v>
      </c>
      <c r="X5" s="66"/>
      <c r="Y5" s="61"/>
      <c r="Z5" s="61"/>
      <c r="AA5" s="66"/>
      <c r="AB5" s="66"/>
      <c r="AC5" s="66"/>
      <c r="AD5" s="66" t="s">
        <v>26</v>
      </c>
      <c r="AE5" s="66"/>
      <c r="AF5" s="66" t="s">
        <v>27</v>
      </c>
      <c r="AG5" s="66"/>
      <c r="AH5" s="66" t="s">
        <v>28</v>
      </c>
      <c r="AI5" s="66"/>
      <c r="AJ5" s="66"/>
      <c r="AK5" s="61" t="s">
        <v>65</v>
      </c>
      <c r="AL5" s="66" t="s">
        <v>29</v>
      </c>
      <c r="AM5" s="66" t="s">
        <v>28</v>
      </c>
      <c r="AN5" s="66"/>
      <c r="AO5" s="66"/>
      <c r="AP5" s="61" t="s">
        <v>66</v>
      </c>
      <c r="AQ5" s="61"/>
      <c r="AR5" s="61"/>
      <c r="AS5" s="66" t="s">
        <v>30</v>
      </c>
      <c r="AT5" s="66"/>
      <c r="AU5" s="66" t="s">
        <v>31</v>
      </c>
      <c r="AV5" s="66"/>
      <c r="AW5" s="61" t="s">
        <v>67</v>
      </c>
      <c r="AX5" s="61"/>
      <c r="AY5" s="61"/>
    </row>
    <row r="6" spans="1:52" s="6" customFormat="1" ht="68.2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1"/>
      <c r="Z6" s="61"/>
      <c r="AA6" s="66"/>
      <c r="AB6" s="66"/>
      <c r="AC6" s="66"/>
      <c r="AD6" s="66"/>
      <c r="AE6" s="66"/>
      <c r="AF6" s="66"/>
      <c r="AG6" s="66"/>
      <c r="AH6" s="66" t="s">
        <v>32</v>
      </c>
      <c r="AI6" s="66"/>
      <c r="AJ6" s="8" t="s">
        <v>33</v>
      </c>
      <c r="AK6" s="61"/>
      <c r="AL6" s="66" t="s">
        <v>34</v>
      </c>
      <c r="AM6" s="8" t="s">
        <v>34</v>
      </c>
      <c r="AN6" s="8" t="s">
        <v>35</v>
      </c>
      <c r="AO6" s="8" t="s">
        <v>36</v>
      </c>
      <c r="AP6" s="61"/>
      <c r="AQ6" s="61"/>
      <c r="AR6" s="61"/>
      <c r="AS6" s="66"/>
      <c r="AT6" s="66"/>
      <c r="AU6" s="66"/>
      <c r="AV6" s="66"/>
      <c r="AW6" s="61"/>
      <c r="AX6" s="61"/>
      <c r="AY6" s="61"/>
      <c r="AZ6" s="10"/>
    </row>
    <row r="7" spans="1:55" s="6" customFormat="1" ht="24.75" customHeight="1">
      <c r="A7" s="66"/>
      <c r="B7" s="66"/>
      <c r="C7" s="66"/>
      <c r="D7" s="8" t="s">
        <v>37</v>
      </c>
      <c r="E7" s="8" t="s">
        <v>38</v>
      </c>
      <c r="F7" s="8" t="s">
        <v>37</v>
      </c>
      <c r="G7" s="8" t="s">
        <v>38</v>
      </c>
      <c r="H7" s="8" t="s">
        <v>39</v>
      </c>
      <c r="I7" s="8" t="s">
        <v>38</v>
      </c>
      <c r="J7" s="8" t="s">
        <v>39</v>
      </c>
      <c r="K7" s="8" t="s">
        <v>38</v>
      </c>
      <c r="L7" s="8" t="s">
        <v>39</v>
      </c>
      <c r="M7" s="8" t="s">
        <v>38</v>
      </c>
      <c r="N7" s="8" t="s">
        <v>39</v>
      </c>
      <c r="O7" s="8" t="s">
        <v>38</v>
      </c>
      <c r="P7" s="8" t="s">
        <v>40</v>
      </c>
      <c r="Q7" s="8" t="s">
        <v>38</v>
      </c>
      <c r="R7" s="8" t="s">
        <v>39</v>
      </c>
      <c r="S7" s="8" t="s">
        <v>41</v>
      </c>
      <c r="T7" s="8" t="s">
        <v>39</v>
      </c>
      <c r="U7" s="8" t="s">
        <v>41</v>
      </c>
      <c r="V7" s="8" t="s">
        <v>41</v>
      </c>
      <c r="W7" s="8" t="s">
        <v>38</v>
      </c>
      <c r="X7" s="8" t="s">
        <v>42</v>
      </c>
      <c r="Y7" s="9" t="s">
        <v>38</v>
      </c>
      <c r="Z7" s="9"/>
      <c r="AA7" s="66"/>
      <c r="AB7" s="66"/>
      <c r="AC7" s="66"/>
      <c r="AD7" s="8" t="s">
        <v>37</v>
      </c>
      <c r="AE7" s="8" t="s">
        <v>38</v>
      </c>
      <c r="AF7" s="8" t="s">
        <v>37</v>
      </c>
      <c r="AG7" s="8" t="s">
        <v>38</v>
      </c>
      <c r="AH7" s="8" t="s">
        <v>40</v>
      </c>
      <c r="AI7" s="8" t="s">
        <v>38</v>
      </c>
      <c r="AJ7" s="8" t="s">
        <v>38</v>
      </c>
      <c r="AK7" s="9" t="s">
        <v>38</v>
      </c>
      <c r="AL7" s="8" t="s">
        <v>38</v>
      </c>
      <c r="AM7" s="8" t="s">
        <v>38</v>
      </c>
      <c r="AN7" s="8" t="s">
        <v>38</v>
      </c>
      <c r="AO7" s="8" t="s">
        <v>38</v>
      </c>
      <c r="AP7" s="9" t="s">
        <v>38</v>
      </c>
      <c r="AQ7" s="9" t="s">
        <v>38</v>
      </c>
      <c r="AR7" s="9"/>
      <c r="AS7" s="8" t="s">
        <v>37</v>
      </c>
      <c r="AT7" s="8" t="s">
        <v>38</v>
      </c>
      <c r="AU7" s="8" t="s">
        <v>40</v>
      </c>
      <c r="AV7" s="8" t="s">
        <v>38</v>
      </c>
      <c r="AW7" s="9" t="s">
        <v>38</v>
      </c>
      <c r="AX7" s="9" t="s">
        <v>37</v>
      </c>
      <c r="AY7" s="11" t="s">
        <v>38</v>
      </c>
      <c r="AZ7" s="6" t="s">
        <v>68</v>
      </c>
      <c r="BB7" s="6" t="s">
        <v>69</v>
      </c>
      <c r="BC7" s="6" t="s">
        <v>70</v>
      </c>
    </row>
    <row r="8" spans="1:51" s="6" customFormat="1" ht="19.5" customHeight="1">
      <c r="A8" s="66">
        <v>1</v>
      </c>
      <c r="B8" s="66" t="s">
        <v>43</v>
      </c>
      <c r="C8" s="12" t="s">
        <v>44</v>
      </c>
      <c r="D8" s="13">
        <v>11</v>
      </c>
      <c r="E8" s="13">
        <v>7380</v>
      </c>
      <c r="F8" s="14">
        <f>2.035</f>
        <v>2.035</v>
      </c>
      <c r="G8" s="13">
        <v>2279</v>
      </c>
      <c r="H8" s="12">
        <v>11</v>
      </c>
      <c r="I8" s="12">
        <v>2484</v>
      </c>
      <c r="J8" s="12">
        <v>13</v>
      </c>
      <c r="K8" s="12">
        <v>2600</v>
      </c>
      <c r="L8" s="12">
        <v>25</v>
      </c>
      <c r="M8" s="12">
        <v>1710</v>
      </c>
      <c r="N8" s="12">
        <v>1</v>
      </c>
      <c r="O8" s="12">
        <v>838</v>
      </c>
      <c r="P8" s="12">
        <v>15</v>
      </c>
      <c r="Q8" s="13">
        <v>884</v>
      </c>
      <c r="R8" s="12"/>
      <c r="S8" s="13">
        <v>190</v>
      </c>
      <c r="T8" s="12">
        <v>5</v>
      </c>
      <c r="U8" s="12">
        <v>925</v>
      </c>
      <c r="V8" s="13">
        <v>5797</v>
      </c>
      <c r="W8" s="13">
        <v>7530</v>
      </c>
      <c r="X8" s="15">
        <v>6380</v>
      </c>
      <c r="Y8" s="16">
        <f aca="true" t="shared" si="0" ref="Y8:Y37">E8+G8+I8+K8+M8+O8+Q8+S8+U8+V8+W8+X8</f>
        <v>38997</v>
      </c>
      <c r="Z8" s="62">
        <f>Y10*100/Y9</f>
        <v>99.99097879324052</v>
      </c>
      <c r="AA8" s="66">
        <v>1</v>
      </c>
      <c r="AB8" s="66" t="s">
        <v>43</v>
      </c>
      <c r="AC8" s="12" t="s">
        <v>44</v>
      </c>
      <c r="AD8" s="56">
        <v>13</v>
      </c>
      <c r="AE8" s="57">
        <v>5460</v>
      </c>
      <c r="AF8" s="56">
        <v>1</v>
      </c>
      <c r="AG8" s="57">
        <v>800</v>
      </c>
      <c r="AH8" s="57">
        <v>15</v>
      </c>
      <c r="AI8" s="57">
        <v>530</v>
      </c>
      <c r="AJ8" s="57">
        <f>800+4</f>
        <v>804</v>
      </c>
      <c r="AK8" s="58">
        <f aca="true" t="shared" si="1" ref="AK8:AK37">AE8+AG8+AI8+AJ8</f>
        <v>7594</v>
      </c>
      <c r="AL8" s="12">
        <v>3400</v>
      </c>
      <c r="AM8" s="12">
        <v>270</v>
      </c>
      <c r="AN8" s="12">
        <v>540</v>
      </c>
      <c r="AO8" s="12">
        <v>162</v>
      </c>
      <c r="AP8" s="18">
        <f aca="true" t="shared" si="2" ref="AP8:AP37">AL8+AM8+AN8+AO8</f>
        <v>4372</v>
      </c>
      <c r="AQ8" s="16">
        <f aca="true" t="shared" si="3" ref="AQ8:AQ37">AK8+AP8</f>
        <v>11966</v>
      </c>
      <c r="AR8" s="63">
        <f>AQ10*100/AQ9</f>
        <v>119.55302105966908</v>
      </c>
      <c r="AS8" s="12">
        <v>1</v>
      </c>
      <c r="AT8" s="12">
        <v>1139</v>
      </c>
      <c r="AU8" s="12">
        <v>15</v>
      </c>
      <c r="AV8" s="12">
        <v>1336</v>
      </c>
      <c r="AW8" s="18">
        <f aca="true" t="shared" si="4" ref="AW8:AW37">AT8+AV8</f>
        <v>2475</v>
      </c>
      <c r="AX8" s="19">
        <f aca="true" t="shared" si="5" ref="AX8:AX37">D8+F8+AD8+AF8+AS8</f>
        <v>28.035</v>
      </c>
      <c r="AY8" s="20">
        <f>Y8+AK8+AP8+AW8</f>
        <v>53438</v>
      </c>
    </row>
    <row r="9" spans="1:55" s="6" customFormat="1" ht="19.5" customHeight="1">
      <c r="A9" s="66"/>
      <c r="B9" s="66"/>
      <c r="C9" s="21" t="s">
        <v>45</v>
      </c>
      <c r="D9" s="22">
        <f>0+(1.75+0.575)+1.47+1.02+(1.265)+1.57+1.79+0.76+0.8</f>
        <v>11</v>
      </c>
      <c r="E9" s="22">
        <v>7380</v>
      </c>
      <c r="F9" s="23">
        <v>2.035</v>
      </c>
      <c r="G9" s="22">
        <v>2279</v>
      </c>
      <c r="H9" s="21">
        <f>0+0+0+(2+2-2)+(1+2)+1+1+(1+1)+(1+1)</f>
        <v>11</v>
      </c>
      <c r="I9" s="21">
        <v>2484</v>
      </c>
      <c r="J9" s="21">
        <f>5+2+2+2+1+1</f>
        <v>13</v>
      </c>
      <c r="K9" s="22">
        <v>2600</v>
      </c>
      <c r="L9" s="21">
        <f>2+2+3+2+2+2+1+2+(2+1)+2+(2+2)</f>
        <v>25</v>
      </c>
      <c r="M9" s="21">
        <v>1710</v>
      </c>
      <c r="N9" s="21">
        <v>1</v>
      </c>
      <c r="O9" s="21">
        <v>838</v>
      </c>
      <c r="P9" s="21">
        <f>0+1+(2-1)+2+2+2+2+2+2+1</f>
        <v>15</v>
      </c>
      <c r="Q9" s="22">
        <v>884</v>
      </c>
      <c r="R9" s="21"/>
      <c r="S9" s="22">
        <v>190</v>
      </c>
      <c r="T9" s="21">
        <f>1+1+0+0+0+1+1+0+1</f>
        <v>5</v>
      </c>
      <c r="U9" s="21">
        <v>925</v>
      </c>
      <c r="V9" s="22">
        <v>5797</v>
      </c>
      <c r="W9" s="22">
        <v>7530</v>
      </c>
      <c r="X9" s="22">
        <v>6380</v>
      </c>
      <c r="Y9" s="25">
        <f t="shared" si="0"/>
        <v>38997</v>
      </c>
      <c r="Z9" s="62"/>
      <c r="AA9" s="66"/>
      <c r="AB9" s="66"/>
      <c r="AC9" s="21" t="s">
        <v>45</v>
      </c>
      <c r="AD9" s="27">
        <f>0.46+0.14+1.76+0.82+1.1+0.5+1.05+1.1+2.05+1.2+1.62+1.2</f>
        <v>13</v>
      </c>
      <c r="AE9" s="27">
        <f>193.2+58.8+739.2+344.4+462+210+441+462+861+504+680.4+504</f>
        <v>5460</v>
      </c>
      <c r="AF9" s="22">
        <f>0+0+0+0+0+0+0.195+0.805</f>
        <v>1</v>
      </c>
      <c r="AG9" s="22">
        <f>0+0+0+0+0+0+156+644</f>
        <v>800</v>
      </c>
      <c r="AH9" s="21">
        <f>0+0+0+(2)+3+2+2+1+3+2</f>
        <v>15</v>
      </c>
      <c r="AI9" s="22">
        <f>0+0+0+70+105+70+70+35+110+70</f>
        <v>530</v>
      </c>
      <c r="AJ9" s="22">
        <v>804</v>
      </c>
      <c r="AK9" s="28">
        <f t="shared" si="1"/>
        <v>7594</v>
      </c>
      <c r="AL9" s="21">
        <f>154+289+337+342+293+298+269+280+289+288+292+269</f>
        <v>3400</v>
      </c>
      <c r="AM9" s="21">
        <f>23+23+23+23+23+23+23+23+23+23+20+20</f>
        <v>270</v>
      </c>
      <c r="AN9" s="21">
        <f>24+(48+4)+(48-4)+48+44+48+48+48+48+48+48+40</f>
        <v>540</v>
      </c>
      <c r="AO9" s="21">
        <f>13.5+(13.5-2)+(13.5+2)+13.5+13.5+13.5+13.5+13.5+13.5+13.5+13.5+13.5</f>
        <v>162</v>
      </c>
      <c r="AP9" s="29">
        <f t="shared" si="2"/>
        <v>4372</v>
      </c>
      <c r="AQ9" s="30">
        <f t="shared" si="3"/>
        <v>11966</v>
      </c>
      <c r="AR9" s="63"/>
      <c r="AS9" s="22"/>
      <c r="AT9" s="22"/>
      <c r="AU9" s="21">
        <v>6</v>
      </c>
      <c r="AV9" s="21">
        <v>1336</v>
      </c>
      <c r="AW9" s="29">
        <f t="shared" si="4"/>
        <v>1336</v>
      </c>
      <c r="AX9" s="28">
        <f t="shared" si="5"/>
        <v>27.035</v>
      </c>
      <c r="AY9" s="20">
        <f>Y9+AK9+AP9+AW9</f>
        <v>52299</v>
      </c>
      <c r="AZ9" s="10">
        <f>AY10*100/AY9</f>
        <v>106.79545211189507</v>
      </c>
      <c r="BB9" s="10">
        <f>Y10*100/Y9</f>
        <v>99.99097879324052</v>
      </c>
      <c r="BC9" s="10">
        <f>AQ10*100/AQ9</f>
        <v>119.55302105966908</v>
      </c>
    </row>
    <row r="10" spans="1:55" s="6" customFormat="1" ht="19.5" customHeight="1">
      <c r="A10" s="66"/>
      <c r="B10" s="66"/>
      <c r="C10" s="32" t="s">
        <v>46</v>
      </c>
      <c r="D10" s="33">
        <f>0+2.52+1.42+1+1.29+(1.45+0.11)+1.864+0.72+0.811+0</f>
        <v>11.185</v>
      </c>
      <c r="E10" s="34">
        <f>0+1356.448+716.388+(503.933)+962.837+(1113.907+30.851+92.764+31.313+99.34+95.113)+1153.64+683.361+(540.828-0.001)+0</f>
        <v>7380.722000000001</v>
      </c>
      <c r="F10" s="33">
        <f>0+0+0+0+0+0.3+(0.24+0.7)+0+0.27+0.362+0.26+0.08</f>
        <v>2.2119999999999997</v>
      </c>
      <c r="G10" s="34">
        <f>0+0+0+0+0+(246.476+18.906+61.082)+845.799+24.142+(253.317-0.002)+744.983+42.409+43.222</f>
        <v>2280.3340000000003</v>
      </c>
      <c r="H10" s="32">
        <f>0+0+0+2+1+3+1+2+2+3+2</f>
        <v>16</v>
      </c>
      <c r="I10" s="34">
        <f>0+0+0+305.296+157.999+(460.492)+162.017+319.977+313.757+450.31+314.259</f>
        <v>2484.107</v>
      </c>
      <c r="J10" s="35">
        <f>2+0+0+0+1+2+4+2+1+1+0</f>
        <v>13</v>
      </c>
      <c r="K10" s="34">
        <f>633.673+0+0+0+106.942+320.405+700.847+453.85+221.231+170.238</f>
        <v>2607.186</v>
      </c>
      <c r="L10" s="35">
        <f>0+4+0+5+4+3+(2+1)+2+3+5</f>
        <v>29</v>
      </c>
      <c r="M10" s="34">
        <f>0+849.36+0+106.28+104.672+96.203+128.456+167.87+106.917+153.249</f>
        <v>1713.0069999999998</v>
      </c>
      <c r="N10" s="35">
        <v>1</v>
      </c>
      <c r="O10" s="34">
        <v>835.504</v>
      </c>
      <c r="P10" s="35">
        <f>0+1+1+2+2+2+2+2+1+3</f>
        <v>16</v>
      </c>
      <c r="Q10" s="34">
        <f>0+55.612+55.622+109.583+112.675+110.159+104.944+109.284+(56.787-0.001)+170.036</f>
        <v>884.701</v>
      </c>
      <c r="R10" s="35">
        <f>0+1+0+0+1+1</f>
        <v>3</v>
      </c>
      <c r="S10" s="34">
        <f>0+42.86+0+0+20.771+109.817+26.45</f>
        <v>199.89799999999997</v>
      </c>
      <c r="T10" s="32">
        <f>1+1+0+0+0+1+2+0</f>
        <v>5</v>
      </c>
      <c r="U10" s="34">
        <f>144.964+348.019+93.654+84.141+0+130.088+128.905+0</f>
        <v>929.7709999999998</v>
      </c>
      <c r="V10" s="34">
        <f>0+0+0+0+0+5215.926+87.159+226.988+168.556+99.113</f>
        <v>5797.742</v>
      </c>
      <c r="W10" s="34">
        <f>0+0+63.137+3959.627+0+76.102+((563.559+2)+40.212)+0+0+1663.864+1164.169</f>
        <v>7532.67</v>
      </c>
      <c r="X10" s="34">
        <f>153.187+0+0+57.782+0+3032.609+1020.972+0+815.217+1268.073</f>
        <v>6347.84</v>
      </c>
      <c r="Y10" s="36">
        <f t="shared" si="0"/>
        <v>38993.482</v>
      </c>
      <c r="Z10" s="62"/>
      <c r="AA10" s="66"/>
      <c r="AB10" s="66"/>
      <c r="AC10" s="32" t="s">
        <v>46</v>
      </c>
      <c r="AD10" s="34">
        <f>2.07+0.36+2.41+0.91+0.97+0.6+1.2+1.1+2.2+1.29+1.76+1.48</f>
        <v>16.349999999999998</v>
      </c>
      <c r="AE10" s="34">
        <f>719.413+121.982+760.894+227.406+413.79+136.992+277.792+546.336+486.806+627.4825+630.206+635.21</f>
        <v>5584.3095</v>
      </c>
      <c r="AF10" s="33">
        <f>0+0+0+0+0+0+0+0.56+0.63+0</f>
        <v>1.19</v>
      </c>
      <c r="AG10" s="34">
        <f>0+0+0+0+0+0+0+608.754+634.159+0</f>
        <v>1242.913</v>
      </c>
      <c r="AH10" s="32">
        <f>0+0+0+1+0+5+2+3+7+1</f>
        <v>19</v>
      </c>
      <c r="AI10" s="34">
        <f>0+0+0+6.493+0+(88.808)+86.827+176.434+150.413+91.323+26.1</f>
        <v>626.398</v>
      </c>
      <c r="AJ10" s="34">
        <f>(96.89+25.749)+(21.821+497.322)+(34.545+28.759)+(26.395+27.162)+(26.483+2.467)+(253.806+24.993)+(33.049+22.026)+(20.421+4.869)+(15.811+14.289)+(18.434+6.302)+(29.709+18.522)+17.819</f>
        <v>1267.643</v>
      </c>
      <c r="AK10" s="36">
        <f t="shared" si="1"/>
        <v>8721.263500000001</v>
      </c>
      <c r="AL10" s="34">
        <f>(102.357+246.794)+(180.908+57.981)+(283.515+196.434)+(298.802+125.356)+(237.579+121.451)+(96.112+(19.134+291.813)+120.758)+(213.191+80.58)+(282.816+70.078)+(158.534+82.241)+(373.189+108.927)+(93.162+175.903)+58.934+144.79</f>
        <v>4221.339</v>
      </c>
      <c r="AM10" s="34">
        <f>0+54.836+0+0+120.758+(42.669+52.945-120.758)+42.284+60.557+(4.595)+42.941+63.014+142.409+181.053</f>
        <v>687.303</v>
      </c>
      <c r="AN10" s="34">
        <f>31.674+47.065+47.78+47.513+43.117+42.937+47.869+45.945+47.833+47.483+47.838</f>
        <v>497.0540000000001</v>
      </c>
      <c r="AO10" s="34">
        <f>13.619+11.616+15.082+13.484+15.65+15.04+15.037+14.259+13.895+16.257+18.944+15.872</f>
        <v>178.755</v>
      </c>
      <c r="AP10" s="36">
        <f t="shared" si="2"/>
        <v>5584.451</v>
      </c>
      <c r="AQ10" s="36">
        <f>AK10+AP10</f>
        <v>14305.714500000002</v>
      </c>
      <c r="AR10" s="63"/>
      <c r="AS10" s="33"/>
      <c r="AT10" s="34"/>
      <c r="AU10" s="35">
        <f>3+6</f>
        <v>9</v>
      </c>
      <c r="AV10" s="33">
        <f>0+0+0+0+0+0+0+778.457+898.003+(1228.54-351.243)</f>
        <v>2553.757</v>
      </c>
      <c r="AW10" s="37">
        <f t="shared" si="4"/>
        <v>2553.757</v>
      </c>
      <c r="AX10" s="36">
        <f t="shared" si="5"/>
        <v>30.937</v>
      </c>
      <c r="AY10" s="38">
        <f>Y10+AK10+AP10+AW10</f>
        <v>55852.9535</v>
      </c>
      <c r="BA10" s="51">
        <f>Y10-W10</f>
        <v>31460.812000000005</v>
      </c>
      <c r="BB10" s="10"/>
      <c r="BC10" s="10"/>
    </row>
    <row r="11" spans="1:55" s="6" customFormat="1" ht="19.5" customHeight="1">
      <c r="A11" s="66">
        <v>2</v>
      </c>
      <c r="B11" s="66" t="s">
        <v>47</v>
      </c>
      <c r="C11" s="12" t="s">
        <v>44</v>
      </c>
      <c r="D11" s="15">
        <v>2.2</v>
      </c>
      <c r="E11" s="13">
        <v>1598</v>
      </c>
      <c r="F11" s="41">
        <f>0.7-0.16</f>
        <v>0.5399999999999999</v>
      </c>
      <c r="G11" s="13">
        <v>738</v>
      </c>
      <c r="H11" s="15"/>
      <c r="I11" s="15"/>
      <c r="J11" s="15">
        <v>1</v>
      </c>
      <c r="K11" s="15">
        <v>220</v>
      </c>
      <c r="L11" s="13">
        <v>3</v>
      </c>
      <c r="M11" s="13">
        <v>150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>
        <f t="shared" si="0"/>
        <v>2706</v>
      </c>
      <c r="Z11" s="63">
        <f>Y13*100/Y12</f>
        <v>100.15421286031044</v>
      </c>
      <c r="AA11" s="66">
        <v>2</v>
      </c>
      <c r="AB11" s="66" t="s">
        <v>47</v>
      </c>
      <c r="AC11" s="12" t="s">
        <v>44</v>
      </c>
      <c r="AD11" s="15">
        <v>2.5</v>
      </c>
      <c r="AE11" s="12">
        <v>1000</v>
      </c>
      <c r="AF11" s="41"/>
      <c r="AG11" s="12"/>
      <c r="AH11" s="12">
        <v>3</v>
      </c>
      <c r="AI11" s="12">
        <v>60</v>
      </c>
      <c r="AJ11" s="12">
        <v>100</v>
      </c>
      <c r="AK11" s="18">
        <f t="shared" si="1"/>
        <v>1160</v>
      </c>
      <c r="AL11" s="12">
        <v>720</v>
      </c>
      <c r="AM11" s="12">
        <v>25</v>
      </c>
      <c r="AN11" s="12">
        <f>70</f>
        <v>70</v>
      </c>
      <c r="AO11" s="12">
        <v>12</v>
      </c>
      <c r="AP11" s="18">
        <f t="shared" si="2"/>
        <v>827</v>
      </c>
      <c r="AQ11" s="18">
        <f t="shared" si="3"/>
        <v>1987</v>
      </c>
      <c r="AR11" s="63">
        <f>AQ13*100/AQ12</f>
        <v>106.01877201811776</v>
      </c>
      <c r="AS11" s="12"/>
      <c r="AT11" s="12"/>
      <c r="AU11" s="12"/>
      <c r="AV11" s="12"/>
      <c r="AW11" s="18">
        <f t="shared" si="4"/>
        <v>0</v>
      </c>
      <c r="AX11" s="19">
        <f t="shared" si="5"/>
        <v>5.24</v>
      </c>
      <c r="AY11" s="20">
        <f>Y11+AK11+AP11+AW11</f>
        <v>4693</v>
      </c>
      <c r="BA11" s="51">
        <f>BA10-11113.991</f>
        <v>20346.821000000004</v>
      </c>
      <c r="BB11" s="10"/>
      <c r="BC11" s="10"/>
    </row>
    <row r="12" spans="1:55" s="6" customFormat="1" ht="19.5" customHeight="1">
      <c r="A12" s="66"/>
      <c r="B12" s="66"/>
      <c r="C12" s="21" t="s">
        <v>45</v>
      </c>
      <c r="D12" s="24">
        <f>0+0+0+(0.6+0.6)+0.5+0.5</f>
        <v>2.2</v>
      </c>
      <c r="E12" s="22">
        <v>1598</v>
      </c>
      <c r="F12" s="23">
        <v>0.54</v>
      </c>
      <c r="G12" s="22">
        <v>738</v>
      </c>
      <c r="H12" s="24"/>
      <c r="I12" s="24"/>
      <c r="J12" s="24">
        <v>1</v>
      </c>
      <c r="K12" s="24">
        <v>220</v>
      </c>
      <c r="L12" s="22">
        <f>0+0+0+0+0+0+0+3</f>
        <v>3</v>
      </c>
      <c r="M12" s="22">
        <v>150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6">
        <f t="shared" si="0"/>
        <v>2706</v>
      </c>
      <c r="Z12" s="63"/>
      <c r="AA12" s="66"/>
      <c r="AB12" s="66"/>
      <c r="AC12" s="21" t="s">
        <v>45</v>
      </c>
      <c r="AD12" s="24">
        <f>0+0+0.8+0.7+0+0+1+0</f>
        <v>2.5</v>
      </c>
      <c r="AE12" s="22">
        <f>0+0+320+(280-70)+0+70+0+400+0</f>
        <v>1000</v>
      </c>
      <c r="AF12" s="27"/>
      <c r="AG12" s="21"/>
      <c r="AH12" s="21">
        <f>0+0+0+0+1+1+1</f>
        <v>3</v>
      </c>
      <c r="AI12" s="21">
        <f>0+0+0+0+20+20+20</f>
        <v>60</v>
      </c>
      <c r="AJ12" s="22">
        <f>0+0+20+0+0+0+0+0+0+40+40</f>
        <v>100</v>
      </c>
      <c r="AK12" s="26">
        <f t="shared" si="1"/>
        <v>1160</v>
      </c>
      <c r="AL12" s="21">
        <f>40+(60+12)+(70-12)+70+60+60+60+60+70+70+50+50</f>
        <v>720</v>
      </c>
      <c r="AM12" s="21">
        <f>0+0+0+0+5+5+5+5+5</f>
        <v>25</v>
      </c>
      <c r="AN12" s="21">
        <f>0+0+0+10+10+10+10+10+9+10+1</f>
        <v>70</v>
      </c>
      <c r="AO12" s="21">
        <f>0+0+0+0+0+0+0+0+6+6</f>
        <v>12</v>
      </c>
      <c r="AP12" s="29">
        <f t="shared" si="2"/>
        <v>827</v>
      </c>
      <c r="AQ12" s="30">
        <f t="shared" si="3"/>
        <v>1987</v>
      </c>
      <c r="AR12" s="63"/>
      <c r="AS12" s="22"/>
      <c r="AT12" s="22"/>
      <c r="AU12" s="21"/>
      <c r="AV12" s="21"/>
      <c r="AW12" s="29">
        <f t="shared" si="4"/>
        <v>0</v>
      </c>
      <c r="AX12" s="25">
        <f t="shared" si="5"/>
        <v>5.24</v>
      </c>
      <c r="AY12" s="20">
        <f>Y12+AK12+AP12</f>
        <v>4693</v>
      </c>
      <c r="AZ12" s="10">
        <f>AY13*100/AY12</f>
        <v>102.63724696356275</v>
      </c>
      <c r="BA12" s="44"/>
      <c r="BB12" s="10">
        <f>Y13*100/Y12</f>
        <v>100.15421286031044</v>
      </c>
      <c r="BC12" s="10">
        <f>AQ13*100/AQ12</f>
        <v>106.01877201811776</v>
      </c>
    </row>
    <row r="13" spans="1:55" s="6" customFormat="1" ht="19.5" customHeight="1">
      <c r="A13" s="66"/>
      <c r="B13" s="66"/>
      <c r="C13" s="32" t="s">
        <v>46</v>
      </c>
      <c r="D13" s="42">
        <f>0+0+0+1.2+(1.03+0.3)</f>
        <v>2.5300000000000002</v>
      </c>
      <c r="E13" s="42">
        <f>0+0+0+(690.9+74.916)+0+(540.811+189.2+103.567)</f>
        <v>1599.394</v>
      </c>
      <c r="F13" s="33">
        <f>0.56+0</f>
        <v>0.56</v>
      </c>
      <c r="G13" s="34">
        <f>0+0+0+0+0+0+0+0+49.932+(448.437+240.9)+0</f>
        <v>739.269</v>
      </c>
      <c r="H13" s="32"/>
      <c r="I13" s="34"/>
      <c r="J13" s="35">
        <f>1+0</f>
        <v>1</v>
      </c>
      <c r="K13" s="34">
        <f>220.027+0</f>
        <v>220.027</v>
      </c>
      <c r="L13" s="35">
        <f>0+0+0+0+0+0+0+3+1+0</f>
        <v>4</v>
      </c>
      <c r="M13" s="34">
        <f>0+0+0+0+0+0+0+118.26+33.223+0</f>
        <v>151.483</v>
      </c>
      <c r="N13" s="35"/>
      <c r="O13" s="34"/>
      <c r="P13" s="35"/>
      <c r="Q13" s="34"/>
      <c r="R13" s="32"/>
      <c r="S13" s="34"/>
      <c r="T13" s="32"/>
      <c r="U13" s="34"/>
      <c r="V13" s="34"/>
      <c r="W13" s="34"/>
      <c r="X13" s="34"/>
      <c r="Y13" s="36">
        <f t="shared" si="0"/>
        <v>2710.1730000000002</v>
      </c>
      <c r="Z13" s="63"/>
      <c r="AA13" s="66"/>
      <c r="AB13" s="66"/>
      <c r="AC13" s="32" t="s">
        <v>46</v>
      </c>
      <c r="AD13" s="34">
        <f>0+0+0.8+0.7+0+0+0.994+0.25</f>
        <v>2.7439999999999998</v>
      </c>
      <c r="AE13" s="34">
        <f>0+0+344.286+187.277+0+477.277+71.908</f>
        <v>1080.7479999999998</v>
      </c>
      <c r="AF13" s="32"/>
      <c r="AG13" s="32"/>
      <c r="AH13" s="32">
        <f>0+0+0+0+1+1+1+0</f>
        <v>3</v>
      </c>
      <c r="AI13" s="34">
        <f>0+0+0+0+26.858+22.984+23.56+0</f>
        <v>73.402</v>
      </c>
      <c r="AJ13" s="34">
        <f>0+0+30.372+0+0+0+0+0+18.984+26.939+31.483</f>
        <v>107.778</v>
      </c>
      <c r="AK13" s="36">
        <f t="shared" si="1"/>
        <v>1261.9279999999999</v>
      </c>
      <c r="AL13" s="34">
        <f>40.099+73.71+61.943+68.517+62.977+82.855+52.281+53.935+65.115+76.28+48.895+49.361</f>
        <v>735.968</v>
      </c>
      <c r="AM13" s="34">
        <f>0+0+0+0+18.684+0+8.147+0+0</f>
        <v>26.831000000000003</v>
      </c>
      <c r="AN13" s="34">
        <f>0+0+0+10.79+10.258+9.06+9.998+9.152+9.674+11.906+0</f>
        <v>70.838</v>
      </c>
      <c r="AO13" s="34">
        <f>0+0+0+0+0+0+0+0+5.448+5.58+0</f>
        <v>11.028</v>
      </c>
      <c r="AP13" s="36">
        <f t="shared" si="2"/>
        <v>844.665</v>
      </c>
      <c r="AQ13" s="36">
        <f t="shared" si="3"/>
        <v>2106.593</v>
      </c>
      <c r="AR13" s="63"/>
      <c r="AS13" s="35"/>
      <c r="AT13" s="34"/>
      <c r="AU13" s="35"/>
      <c r="AV13" s="34"/>
      <c r="AW13" s="37">
        <f t="shared" si="4"/>
        <v>0</v>
      </c>
      <c r="AX13" s="36">
        <f t="shared" si="5"/>
        <v>5.834</v>
      </c>
      <c r="AY13" s="38">
        <f aca="true" t="shared" si="6" ref="AY13:AY37">Y13+AK13+AP13+AW13</f>
        <v>4816.766</v>
      </c>
      <c r="BA13" s="51">
        <f>BA10-X10</f>
        <v>25112.972000000005</v>
      </c>
      <c r="BB13" s="10"/>
      <c r="BC13" s="10"/>
    </row>
    <row r="14" spans="1:55" s="6" customFormat="1" ht="19.5" customHeight="1">
      <c r="A14" s="66">
        <v>3</v>
      </c>
      <c r="B14" s="66" t="s">
        <v>48</v>
      </c>
      <c r="C14" s="12" t="s">
        <v>44</v>
      </c>
      <c r="D14" s="41">
        <v>1.7</v>
      </c>
      <c r="E14" s="13">
        <f>(1019-155)</f>
        <v>864</v>
      </c>
      <c r="F14" s="41"/>
      <c r="G14" s="15"/>
      <c r="H14" s="12"/>
      <c r="I14" s="12"/>
      <c r="J14" s="12">
        <v>1</v>
      </c>
      <c r="K14" s="12">
        <v>168</v>
      </c>
      <c r="L14" s="12"/>
      <c r="M14" s="12"/>
      <c r="N14" s="12"/>
      <c r="O14" s="12"/>
      <c r="P14" s="12"/>
      <c r="Q14" s="13"/>
      <c r="R14" s="12"/>
      <c r="S14" s="13"/>
      <c r="T14" s="12"/>
      <c r="U14" s="12"/>
      <c r="V14" s="13"/>
      <c r="W14" s="13"/>
      <c r="X14" s="13"/>
      <c r="Y14" s="16">
        <f t="shared" si="0"/>
        <v>1032</v>
      </c>
      <c r="Z14" s="63">
        <f>Y16*100/Y15</f>
        <v>100.16763565891473</v>
      </c>
      <c r="AA14" s="66">
        <v>3</v>
      </c>
      <c r="AB14" s="66" t="s">
        <v>48</v>
      </c>
      <c r="AC14" s="12" t="s">
        <v>44</v>
      </c>
      <c r="AD14" s="41">
        <v>0.24</v>
      </c>
      <c r="AE14" s="12">
        <v>96</v>
      </c>
      <c r="AF14" s="13"/>
      <c r="AG14" s="12"/>
      <c r="AH14" s="12">
        <v>2</v>
      </c>
      <c r="AI14" s="12">
        <v>15</v>
      </c>
      <c r="AJ14" s="12">
        <f>20-4</f>
        <v>16</v>
      </c>
      <c r="AK14" s="18">
        <f t="shared" si="1"/>
        <v>127</v>
      </c>
      <c r="AL14" s="12">
        <f>140+3</f>
        <v>143</v>
      </c>
      <c r="AM14" s="12">
        <v>5</v>
      </c>
      <c r="AN14" s="12">
        <v>5</v>
      </c>
      <c r="AO14" s="12"/>
      <c r="AP14" s="18">
        <f t="shared" si="2"/>
        <v>153</v>
      </c>
      <c r="AQ14" s="18">
        <f t="shared" si="3"/>
        <v>280</v>
      </c>
      <c r="AR14" s="63">
        <f>AQ16*100/AQ15</f>
        <v>115.4825</v>
      </c>
      <c r="AS14" s="12"/>
      <c r="AT14" s="12"/>
      <c r="AU14" s="12"/>
      <c r="AV14" s="12"/>
      <c r="AW14" s="18">
        <f t="shared" si="4"/>
        <v>0</v>
      </c>
      <c r="AX14" s="19">
        <f t="shared" si="5"/>
        <v>1.94</v>
      </c>
      <c r="AY14" s="20">
        <f t="shared" si="6"/>
        <v>1312</v>
      </c>
      <c r="BB14" s="10"/>
      <c r="BC14" s="10"/>
    </row>
    <row r="15" spans="1:55" s="6" customFormat="1" ht="18.75" customHeight="1">
      <c r="A15" s="66"/>
      <c r="B15" s="66"/>
      <c r="C15" s="21" t="s">
        <v>45</v>
      </c>
      <c r="D15" s="27">
        <f>0+0+0+0+0.5+0.5+0.7</f>
        <v>1.7</v>
      </c>
      <c r="E15" s="22">
        <f>0+0+0+0+300+300+419-155</f>
        <v>864</v>
      </c>
      <c r="F15" s="27"/>
      <c r="G15" s="23"/>
      <c r="H15" s="21"/>
      <c r="I15" s="21"/>
      <c r="J15" s="21">
        <f>0+0+0+0+0+0+0+1</f>
        <v>1</v>
      </c>
      <c r="K15" s="21">
        <v>168</v>
      </c>
      <c r="L15" s="21"/>
      <c r="M15" s="21"/>
      <c r="N15" s="21"/>
      <c r="O15" s="21"/>
      <c r="P15" s="21"/>
      <c r="Q15" s="27"/>
      <c r="R15" s="21"/>
      <c r="S15" s="24"/>
      <c r="T15" s="21"/>
      <c r="U15" s="21"/>
      <c r="V15" s="22"/>
      <c r="W15" s="22"/>
      <c r="X15" s="22"/>
      <c r="Y15" s="26">
        <f t="shared" si="0"/>
        <v>1032</v>
      </c>
      <c r="Z15" s="63"/>
      <c r="AA15" s="66"/>
      <c r="AB15" s="66"/>
      <c r="AC15" s="21" t="s">
        <v>45</v>
      </c>
      <c r="AD15" s="27">
        <f>0+0+0+0+0+0+0+0.24</f>
        <v>0.24</v>
      </c>
      <c r="AE15" s="22">
        <f>0+0+0+0+0+0+0+96</f>
        <v>96</v>
      </c>
      <c r="AF15" s="22"/>
      <c r="AG15" s="21"/>
      <c r="AH15" s="21">
        <f>0+0+0+1+0+0+0+0+1</f>
        <v>2</v>
      </c>
      <c r="AI15" s="21">
        <f>0+0+0+(7.5-4)+0+4+0+0+7.5</f>
        <v>15</v>
      </c>
      <c r="AJ15" s="22">
        <v>16</v>
      </c>
      <c r="AK15" s="29">
        <f t="shared" si="1"/>
        <v>127</v>
      </c>
      <c r="AL15" s="21">
        <f>(10+1)+(10+6)+(12+3)+12+11+10+(10-6-3-1)+15+14+14+12+10+3</f>
        <v>143</v>
      </c>
      <c r="AM15" s="21">
        <f>0+0+0+5+0+0+0+0</f>
        <v>5</v>
      </c>
      <c r="AN15" s="21">
        <v>5</v>
      </c>
      <c r="AO15" s="21"/>
      <c r="AP15" s="29">
        <f t="shared" si="2"/>
        <v>153</v>
      </c>
      <c r="AQ15" s="30">
        <f t="shared" si="3"/>
        <v>280</v>
      </c>
      <c r="AR15" s="63"/>
      <c r="AS15" s="22"/>
      <c r="AT15" s="22"/>
      <c r="AU15" s="21"/>
      <c r="AV15" s="21"/>
      <c r="AW15" s="29">
        <f t="shared" si="4"/>
        <v>0</v>
      </c>
      <c r="AX15" s="25">
        <f t="shared" si="5"/>
        <v>1.94</v>
      </c>
      <c r="AY15" s="31">
        <f t="shared" si="6"/>
        <v>1312</v>
      </c>
      <c r="AZ15" s="10">
        <f>AY16*100/AY15</f>
        <v>103.43605182926828</v>
      </c>
      <c r="BB15" s="10">
        <f>Y16*100/Y15</f>
        <v>100.16763565891473</v>
      </c>
      <c r="BC15" s="10">
        <f>AQ16*100/AQ15</f>
        <v>115.4825</v>
      </c>
    </row>
    <row r="16" spans="1:55" s="6" customFormat="1" ht="19.5" customHeight="1">
      <c r="A16" s="66"/>
      <c r="B16" s="66"/>
      <c r="C16" s="32" t="s">
        <v>46</v>
      </c>
      <c r="D16" s="34">
        <f>0+0+0+0+0+0.705+1.012+0</f>
        <v>1.717</v>
      </c>
      <c r="E16" s="34">
        <f>0+0+0+0+(190.708+113.509)+202.574+(17.567+340.42)+0</f>
        <v>864.778</v>
      </c>
      <c r="F16" s="33"/>
      <c r="G16" s="34"/>
      <c r="H16" s="32"/>
      <c r="I16" s="34"/>
      <c r="J16" s="35">
        <f>0+0+0+0+0+0+0+1+0</f>
        <v>1</v>
      </c>
      <c r="K16" s="34">
        <f>0+0+0+0+0+0+0+168.952+0</f>
        <v>168.952</v>
      </c>
      <c r="L16" s="35"/>
      <c r="M16" s="34"/>
      <c r="N16" s="34"/>
      <c r="O16" s="34"/>
      <c r="P16" s="35"/>
      <c r="Q16" s="34"/>
      <c r="R16" s="32"/>
      <c r="S16" s="34"/>
      <c r="T16" s="32"/>
      <c r="U16" s="34"/>
      <c r="V16" s="34"/>
      <c r="W16" s="34"/>
      <c r="X16" s="34"/>
      <c r="Y16" s="43">
        <f t="shared" si="0"/>
        <v>1033.73</v>
      </c>
      <c r="Z16" s="63"/>
      <c r="AA16" s="66"/>
      <c r="AB16" s="66"/>
      <c r="AC16" s="32" t="s">
        <v>46</v>
      </c>
      <c r="AD16" s="34">
        <f>0+0+0+0+0+0+0+0.358+0</f>
        <v>0.358</v>
      </c>
      <c r="AE16" s="34">
        <f>0+0+0+0+0+0+0+112.439+0</f>
        <v>112.439</v>
      </c>
      <c r="AF16" s="32"/>
      <c r="AG16" s="32"/>
      <c r="AH16" s="32">
        <f>0+0+0+1+1+0+0</f>
        <v>2</v>
      </c>
      <c r="AI16" s="34">
        <f>0+0+0+4.72+11.718+0+0</f>
        <v>16.438</v>
      </c>
      <c r="AJ16" s="34">
        <f>0+0+0+16.763+0+0</f>
        <v>16.763</v>
      </c>
      <c r="AK16" s="36">
        <f t="shared" si="1"/>
        <v>145.64</v>
      </c>
      <c r="AL16" s="34">
        <f>11.554+16.151+15.098+12.477+11.358+11.358+0+23.651+6.31+14.37+12.651+12.855</f>
        <v>147.833</v>
      </c>
      <c r="AM16" s="34">
        <f>0+0+0+6.076+0+0+0+0+6.367+0</f>
        <v>12.443</v>
      </c>
      <c r="AN16" s="34">
        <f>0+0+0+0+0+0+0+0+8.103+9.332+0</f>
        <v>17.435000000000002</v>
      </c>
      <c r="AO16" s="34"/>
      <c r="AP16" s="36">
        <f t="shared" si="2"/>
        <v>177.711</v>
      </c>
      <c r="AQ16" s="36">
        <f t="shared" si="3"/>
        <v>323.351</v>
      </c>
      <c r="AR16" s="63"/>
      <c r="AS16" s="35"/>
      <c r="AT16" s="34"/>
      <c r="AU16" s="35"/>
      <c r="AV16" s="34"/>
      <c r="AW16" s="37">
        <f t="shared" si="4"/>
        <v>0</v>
      </c>
      <c r="AX16" s="36">
        <f t="shared" si="5"/>
        <v>2.075</v>
      </c>
      <c r="AY16" s="38">
        <f t="shared" si="6"/>
        <v>1357.081</v>
      </c>
      <c r="BB16" s="10"/>
      <c r="BC16" s="10"/>
    </row>
    <row r="17" spans="1:55" s="6" customFormat="1" ht="19.5" customHeight="1">
      <c r="A17" s="66">
        <v>4</v>
      </c>
      <c r="B17" s="66" t="s">
        <v>49</v>
      </c>
      <c r="C17" s="12" t="s">
        <v>44</v>
      </c>
      <c r="D17" s="41">
        <v>5.19</v>
      </c>
      <c r="E17" s="13">
        <v>4260</v>
      </c>
      <c r="F17" s="41">
        <f>0.6</f>
        <v>0.6</v>
      </c>
      <c r="G17" s="13">
        <v>570</v>
      </c>
      <c r="H17" s="12">
        <v>2</v>
      </c>
      <c r="I17" s="12">
        <f>400-102</f>
        <v>298</v>
      </c>
      <c r="J17" s="12">
        <v>1</v>
      </c>
      <c r="K17" s="12">
        <v>118</v>
      </c>
      <c r="L17" s="12">
        <v>8</v>
      </c>
      <c r="M17" s="12">
        <v>280</v>
      </c>
      <c r="N17" s="12">
        <v>1</v>
      </c>
      <c r="O17" s="12">
        <f>850-241</f>
        <v>609</v>
      </c>
      <c r="P17" s="12"/>
      <c r="Q17" s="13"/>
      <c r="R17" s="12">
        <v>1</v>
      </c>
      <c r="S17" s="13">
        <v>325</v>
      </c>
      <c r="T17" s="12">
        <v>6</v>
      </c>
      <c r="U17" s="12">
        <v>810</v>
      </c>
      <c r="V17" s="13"/>
      <c r="W17" s="13"/>
      <c r="X17" s="13"/>
      <c r="Y17" s="16">
        <f t="shared" si="0"/>
        <v>7270</v>
      </c>
      <c r="Z17" s="63">
        <f>Y19*100/Y18</f>
        <v>100.16416781292985</v>
      </c>
      <c r="AA17" s="66">
        <v>4</v>
      </c>
      <c r="AB17" s="66" t="s">
        <v>49</v>
      </c>
      <c r="AC17" s="12" t="s">
        <v>44</v>
      </c>
      <c r="AD17" s="41">
        <v>6.97</v>
      </c>
      <c r="AE17" s="12">
        <v>2788</v>
      </c>
      <c r="AF17" s="15">
        <v>0.8</v>
      </c>
      <c r="AG17" s="12">
        <v>640</v>
      </c>
      <c r="AH17" s="12">
        <v>6</v>
      </c>
      <c r="AI17" s="12">
        <v>120</v>
      </c>
      <c r="AJ17" s="12">
        <v>250</v>
      </c>
      <c r="AK17" s="18">
        <f t="shared" si="1"/>
        <v>3798</v>
      </c>
      <c r="AL17" s="12">
        <v>1600</v>
      </c>
      <c r="AM17" s="12">
        <v>50</v>
      </c>
      <c r="AN17" s="12">
        <v>140</v>
      </c>
      <c r="AO17" s="12">
        <v>106</v>
      </c>
      <c r="AP17" s="18">
        <f t="shared" si="2"/>
        <v>1896</v>
      </c>
      <c r="AQ17" s="18">
        <f t="shared" si="3"/>
        <v>5694</v>
      </c>
      <c r="AR17" s="63">
        <f>AQ19*100/AQ18</f>
        <v>103.13593256059009</v>
      </c>
      <c r="AS17" s="12"/>
      <c r="AT17" s="12"/>
      <c r="AU17" s="12"/>
      <c r="AV17" s="12"/>
      <c r="AW17" s="18">
        <f t="shared" si="4"/>
        <v>0</v>
      </c>
      <c r="AX17" s="19">
        <f t="shared" si="5"/>
        <v>13.56</v>
      </c>
      <c r="AY17" s="20">
        <f t="shared" si="6"/>
        <v>12964</v>
      </c>
      <c r="BB17" s="10"/>
      <c r="BC17" s="10"/>
    </row>
    <row r="18" spans="1:55" s="6" customFormat="1" ht="19.5" customHeight="1">
      <c r="A18" s="66"/>
      <c r="B18" s="66"/>
      <c r="C18" s="21" t="s">
        <v>45</v>
      </c>
      <c r="D18" s="27">
        <f>0+0+0+(0.28+0.4-0.16+0.16)+0.71+0.18+0.21+0.7+0.72+1.04+0.95</f>
        <v>5.19</v>
      </c>
      <c r="E18" s="22">
        <v>4260</v>
      </c>
      <c r="F18" s="27">
        <f>0+0+0+0+0+(0.09+0.1)+0+(0.2+0.21)</f>
        <v>0.6000000000000001</v>
      </c>
      <c r="G18" s="22">
        <v>570</v>
      </c>
      <c r="H18" s="21">
        <f>0+0+0+0+0+0+0+0+0+0+1+1</f>
        <v>2</v>
      </c>
      <c r="I18" s="21">
        <f>0+0+0+0+0+0+0+0+0+0+200+200-102</f>
        <v>298</v>
      </c>
      <c r="J18" s="21">
        <f>1+0+0+0+0</f>
        <v>1</v>
      </c>
      <c r="K18" s="21">
        <v>118</v>
      </c>
      <c r="L18" s="21">
        <f>0+0+4+(2+2)+0</f>
        <v>8</v>
      </c>
      <c r="M18" s="21">
        <v>280</v>
      </c>
      <c r="N18" s="21">
        <f>0+0+0+0+1</f>
        <v>1</v>
      </c>
      <c r="O18" s="21">
        <v>609</v>
      </c>
      <c r="P18" s="21"/>
      <c r="Q18" s="27"/>
      <c r="R18" s="21">
        <f>0+0+0+1+0</f>
        <v>1</v>
      </c>
      <c r="S18" s="21">
        <v>325</v>
      </c>
      <c r="T18" s="21">
        <f>0+0+1+1+0+0+0+1+1+1+1</f>
        <v>6</v>
      </c>
      <c r="U18" s="21">
        <v>810</v>
      </c>
      <c r="V18" s="22"/>
      <c r="W18" s="22"/>
      <c r="X18" s="22"/>
      <c r="Y18" s="25">
        <f t="shared" si="0"/>
        <v>7270</v>
      </c>
      <c r="Z18" s="63"/>
      <c r="AA18" s="66"/>
      <c r="AB18" s="66"/>
      <c r="AC18" s="21" t="s">
        <v>45</v>
      </c>
      <c r="AD18" s="27">
        <f>0.4+0.8+0.68+1.3+(0.16+0.08)+(0.2+0.7)+0.48+0.89+0.64+0.33+0.31</f>
        <v>6.97</v>
      </c>
      <c r="AE18" s="22">
        <f>160+320+272+(520-230)+(64+32)+230+(80+280)+192+356+256+132+124</f>
        <v>2788</v>
      </c>
      <c r="AF18" s="27">
        <f>0+0+0+0+0+0+(0.19+0.19)+0.42</f>
        <v>0.8</v>
      </c>
      <c r="AG18" s="22">
        <f>0+0+0+0+0+0+(152+152)+336</f>
        <v>640</v>
      </c>
      <c r="AH18" s="21">
        <f>2+1+1+1+1</f>
        <v>6</v>
      </c>
      <c r="AI18" s="21">
        <f>40+20+20+20+20</f>
        <v>120</v>
      </c>
      <c r="AJ18" s="24">
        <f>0+0+55+(0-19)+85+(110+19)</f>
        <v>250</v>
      </c>
      <c r="AK18" s="30">
        <f t="shared" si="1"/>
        <v>3798</v>
      </c>
      <c r="AL18" s="21">
        <f>110+140+140+145+130+130+130+145+140+140+140+110</f>
        <v>1600</v>
      </c>
      <c r="AM18" s="21">
        <f>0+0+0+0+10+10+10+10+10</f>
        <v>50</v>
      </c>
      <c r="AN18" s="21">
        <f>10+10+15+15+10+10+10+10+10+15+15+10</f>
        <v>140</v>
      </c>
      <c r="AO18" s="21">
        <f>9+10+10+8+8+8+8+8+8+10+10+9</f>
        <v>106</v>
      </c>
      <c r="AP18" s="29">
        <f t="shared" si="2"/>
        <v>1896</v>
      </c>
      <c r="AQ18" s="30">
        <f t="shared" si="3"/>
        <v>5694</v>
      </c>
      <c r="AR18" s="63"/>
      <c r="AS18" s="22"/>
      <c r="AT18" s="22"/>
      <c r="AU18" s="21"/>
      <c r="AV18" s="21"/>
      <c r="AW18" s="29">
        <f t="shared" si="4"/>
        <v>0</v>
      </c>
      <c r="AX18" s="25">
        <f t="shared" si="5"/>
        <v>13.560000000000002</v>
      </c>
      <c r="AY18" s="31">
        <f t="shared" si="6"/>
        <v>12964</v>
      </c>
      <c r="AZ18" s="10">
        <f>AY19*100/AY18</f>
        <v>101.46941530391854</v>
      </c>
      <c r="BB18" s="10">
        <f>Y19*100/Y18</f>
        <v>100.16416781292985</v>
      </c>
      <c r="BC18" s="10">
        <f>AQ19*100/AQ18</f>
        <v>103.13593256059009</v>
      </c>
    </row>
    <row r="19" spans="1:55" s="6" customFormat="1" ht="19.5" customHeight="1">
      <c r="A19" s="66"/>
      <c r="B19" s="66"/>
      <c r="C19" s="32" t="s">
        <v>46</v>
      </c>
      <c r="D19" s="34">
        <f>0+0+0+0.523+0.714+0.735+(0.455+0.221)+0.726+0.79+1.028</f>
        <v>5.192</v>
      </c>
      <c r="E19" s="34">
        <f>0+0+0+(408.324+21.058+19.884)+(56.363+511.808)+(580.378+26.616+30.608)+((346.154+56.989)+(140.578+17.3))+564.352+(668.833+0.001)+790.117+21.449</f>
        <v>4260.812</v>
      </c>
      <c r="F19" s="33">
        <f>0+0+0+0+0+0+(0.085+0.095)+0+0.474+0</f>
        <v>0.6539999999999999</v>
      </c>
      <c r="G19" s="34">
        <f>0+0+0+0+0+0+((46.687+8.726+16.949)+(51.764+9.695+14.407))+0+384.429+38.135+0</f>
        <v>570.7919999999999</v>
      </c>
      <c r="H19" s="32">
        <f>1+1</f>
        <v>2</v>
      </c>
      <c r="I19" s="32">
        <f>149.284+148.867</f>
        <v>298.15099999999995</v>
      </c>
      <c r="J19" s="35">
        <f>1+0+0+0+0+0+0</f>
        <v>1</v>
      </c>
      <c r="K19" s="34">
        <f>118.983+0+0+0+0+0+0</f>
        <v>118.983</v>
      </c>
      <c r="L19" s="35">
        <f>0+0+4+4+0+0+0</f>
        <v>8</v>
      </c>
      <c r="M19" s="34">
        <f>0+0+143.444+137.361+0+0+0</f>
        <v>280.80499999999995</v>
      </c>
      <c r="N19" s="35">
        <f>0+0+0+0+0+1+0</f>
        <v>1</v>
      </c>
      <c r="O19" s="34">
        <f>0+0+0+0+0+609.29+0</f>
        <v>609.29</v>
      </c>
      <c r="P19" s="35"/>
      <c r="Q19" s="34"/>
      <c r="R19" s="32">
        <f>0+0+0+1+0+0+0</f>
        <v>1</v>
      </c>
      <c r="S19" s="32">
        <f>0+0+0+329.859+0+0+0</f>
        <v>329.859</v>
      </c>
      <c r="T19" s="32">
        <f>0+0+1+1+0+0+0+1+1+1</f>
        <v>5</v>
      </c>
      <c r="U19" s="34">
        <f>0+0+148.426+238.548+0+0+0+141.327+133.769+151.173</f>
        <v>813.2429999999999</v>
      </c>
      <c r="V19" s="34"/>
      <c r="W19" s="34"/>
      <c r="X19" s="34"/>
      <c r="Y19" s="36">
        <f t="shared" si="0"/>
        <v>7281.9349999999995</v>
      </c>
      <c r="Z19" s="63"/>
      <c r="AA19" s="66"/>
      <c r="AB19" s="66"/>
      <c r="AC19" s="32" t="s">
        <v>46</v>
      </c>
      <c r="AD19" s="34">
        <f>0.4+0.8+0.68+1.3+0.286+0.915+0.744+0.48+0.89+0.64+0.33+0.31</f>
        <v>7.7749999999999995</v>
      </c>
      <c r="AE19" s="34">
        <f>160.848+322.239+298.809+260.359+159.186+370.739+323.556+196.307+(387.191+0.001)+175.793+135.786+109.982</f>
        <v>2900.796</v>
      </c>
      <c r="AF19" s="34">
        <f>0+0+0+0+0+0+0+0.8+0.083+0</f>
        <v>0.883</v>
      </c>
      <c r="AG19" s="32">
        <f>0+0+0+0+0+0+0+589.697+52.374+0</f>
        <v>642.071</v>
      </c>
      <c r="AH19" s="32">
        <f>0+0+0+0+0+1+3+0+1+1+0</f>
        <v>6</v>
      </c>
      <c r="AI19" s="34">
        <f>0+0+0+0+0+22.154+56.844+0+16.35+24.733+0</f>
        <v>120.08100000000002</v>
      </c>
      <c r="AJ19" s="34">
        <f>0+0+36.177+0+58.032+107.945+81.973+20.568+0</f>
        <v>304.695</v>
      </c>
      <c r="AK19" s="36">
        <f t="shared" si="1"/>
        <v>3967.643</v>
      </c>
      <c r="AL19" s="34">
        <f>110.842+139.428+140.633+146.019+129.985+128.821+151.845+128.673+148.818+133.011+151.657+90.801</f>
        <v>1600.533</v>
      </c>
      <c r="AM19" s="34">
        <f>0+0+0+0+11.963+9.88+9.471+8.878+10.074+4.245</f>
        <v>54.510999999999996</v>
      </c>
      <c r="AN19" s="34">
        <f>12.058+11.467+11.706+15.148+12.694+13.465+5.519+8.24+10.462+17.196+18.528+6.715</f>
        <v>143.198</v>
      </c>
      <c r="AO19" s="34">
        <f>9.381+9.742+10.95+8.427+6.778+7.901+9.019+8.129+11.393+7.573+9.608+7.774</f>
        <v>106.67500000000001</v>
      </c>
      <c r="AP19" s="36">
        <f t="shared" si="2"/>
        <v>1904.917</v>
      </c>
      <c r="AQ19" s="36">
        <f t="shared" si="3"/>
        <v>5872.5599999999995</v>
      </c>
      <c r="AR19" s="63"/>
      <c r="AS19" s="35"/>
      <c r="AT19" s="34"/>
      <c r="AU19" s="35"/>
      <c r="AV19" s="34"/>
      <c r="AW19" s="37">
        <f t="shared" si="4"/>
        <v>0</v>
      </c>
      <c r="AX19" s="36">
        <f t="shared" si="5"/>
        <v>14.503999999999998</v>
      </c>
      <c r="AY19" s="38">
        <f t="shared" si="6"/>
        <v>13154.494999999999</v>
      </c>
      <c r="BB19" s="10"/>
      <c r="BC19" s="10"/>
    </row>
    <row r="20" spans="1:55" s="6" customFormat="1" ht="19.5" customHeight="1">
      <c r="A20" s="66">
        <v>5</v>
      </c>
      <c r="B20" s="66" t="s">
        <v>50</v>
      </c>
      <c r="C20" s="12" t="s">
        <v>44</v>
      </c>
      <c r="D20" s="41">
        <v>4.38</v>
      </c>
      <c r="E20" s="13">
        <v>3310</v>
      </c>
      <c r="F20" s="41">
        <f>0.4+0.16</f>
        <v>0.56</v>
      </c>
      <c r="G20" s="13">
        <v>339</v>
      </c>
      <c r="H20" s="12"/>
      <c r="I20" s="12"/>
      <c r="J20" s="12">
        <v>1</v>
      </c>
      <c r="K20" s="12">
        <v>166</v>
      </c>
      <c r="L20" s="12">
        <v>2</v>
      </c>
      <c r="M20" s="12">
        <v>60</v>
      </c>
      <c r="N20" s="12"/>
      <c r="O20" s="12"/>
      <c r="P20" s="12"/>
      <c r="Q20" s="13"/>
      <c r="R20" s="12">
        <v>1</v>
      </c>
      <c r="S20" s="13">
        <f>378+18</f>
        <v>396</v>
      </c>
      <c r="T20" s="12">
        <v>1</v>
      </c>
      <c r="U20" s="12">
        <v>235</v>
      </c>
      <c r="V20" s="13"/>
      <c r="W20" s="13"/>
      <c r="X20" s="15">
        <v>996.2</v>
      </c>
      <c r="Y20" s="16">
        <f t="shared" si="0"/>
        <v>5502.2</v>
      </c>
      <c r="Z20" s="63">
        <f>Y22*100/Y21</f>
        <v>100.36381810912</v>
      </c>
      <c r="AA20" s="66">
        <v>5</v>
      </c>
      <c r="AB20" s="66" t="s">
        <v>50</v>
      </c>
      <c r="AC20" s="12" t="s">
        <v>44</v>
      </c>
      <c r="AD20" s="41">
        <v>1.05</v>
      </c>
      <c r="AE20" s="12">
        <v>420</v>
      </c>
      <c r="AF20" s="13"/>
      <c r="AG20" s="12"/>
      <c r="AH20" s="12">
        <v>3</v>
      </c>
      <c r="AI20" s="12">
        <v>60</v>
      </c>
      <c r="AJ20" s="12">
        <v>120</v>
      </c>
      <c r="AK20" s="18">
        <f t="shared" si="1"/>
        <v>600</v>
      </c>
      <c r="AL20" s="12">
        <v>720</v>
      </c>
      <c r="AM20" s="12">
        <v>25</v>
      </c>
      <c r="AN20" s="12">
        <f>80-8</f>
        <v>72</v>
      </c>
      <c r="AO20" s="12">
        <f>12+8</f>
        <v>20</v>
      </c>
      <c r="AP20" s="18">
        <f t="shared" si="2"/>
        <v>837</v>
      </c>
      <c r="AQ20" s="18">
        <f t="shared" si="3"/>
        <v>1437</v>
      </c>
      <c r="AR20" s="63">
        <f>AQ22*100/AQ21</f>
        <v>101.49352818371608</v>
      </c>
      <c r="AS20" s="12"/>
      <c r="AT20" s="12"/>
      <c r="AU20" s="12"/>
      <c r="AV20" s="12"/>
      <c r="AW20" s="18">
        <f t="shared" si="4"/>
        <v>0</v>
      </c>
      <c r="AX20" s="19">
        <f t="shared" si="5"/>
        <v>5.989999999999999</v>
      </c>
      <c r="AY20" s="20">
        <f t="shared" si="6"/>
        <v>6939.2</v>
      </c>
      <c r="BB20" s="10"/>
      <c r="BC20" s="10"/>
    </row>
    <row r="21" spans="1:55" s="6" customFormat="1" ht="19.5" customHeight="1">
      <c r="A21" s="66"/>
      <c r="B21" s="66"/>
      <c r="C21" s="21" t="s">
        <v>45</v>
      </c>
      <c r="D21" s="27">
        <f>0+0+0+1.03+0.6+0.85+1+0.9</f>
        <v>4.38</v>
      </c>
      <c r="E21" s="22">
        <v>3310</v>
      </c>
      <c r="F21" s="27">
        <v>0.56</v>
      </c>
      <c r="G21" s="22">
        <v>339</v>
      </c>
      <c r="H21" s="21"/>
      <c r="I21" s="21"/>
      <c r="J21" s="21">
        <f>0+0+1+0+0+0</f>
        <v>1</v>
      </c>
      <c r="K21" s="21">
        <v>166</v>
      </c>
      <c r="L21" s="21">
        <f>0+0+0+1+0+0+0+1</f>
        <v>2</v>
      </c>
      <c r="M21" s="21">
        <v>60</v>
      </c>
      <c r="N21" s="21"/>
      <c r="O21" s="21"/>
      <c r="P21" s="21"/>
      <c r="Q21" s="27"/>
      <c r="R21" s="21">
        <f>0+0+0+0+1+0</f>
        <v>1</v>
      </c>
      <c r="S21" s="21">
        <v>396</v>
      </c>
      <c r="T21" s="21">
        <f>0+0+0+0+1+0</f>
        <v>1</v>
      </c>
      <c r="U21" s="21">
        <v>235</v>
      </c>
      <c r="V21" s="22"/>
      <c r="W21" s="22"/>
      <c r="X21" s="27">
        <v>996.2</v>
      </c>
      <c r="Y21" s="26">
        <f t="shared" si="0"/>
        <v>5502.2</v>
      </c>
      <c r="Z21" s="63"/>
      <c r="AA21" s="66"/>
      <c r="AB21" s="66"/>
      <c r="AC21" s="21" t="s">
        <v>45</v>
      </c>
      <c r="AD21" s="27">
        <f>0+0.2+0.2+0+0+0+0+0.4+0.25</f>
        <v>1.05</v>
      </c>
      <c r="AE21" s="22">
        <f>0+80+80+0+0+0+0+160+100</f>
        <v>420</v>
      </c>
      <c r="AF21" s="22"/>
      <c r="AG21" s="21"/>
      <c r="AH21" s="21">
        <f>0+0+0+0+2+0+1</f>
        <v>3</v>
      </c>
      <c r="AI21" s="21">
        <f>0+0+0+0+40+0+20</f>
        <v>60</v>
      </c>
      <c r="AJ21" s="22">
        <f>0+30+0+0+0+30+0+30+30</f>
        <v>120</v>
      </c>
      <c r="AK21" s="26">
        <f t="shared" si="1"/>
        <v>600</v>
      </c>
      <c r="AL21" s="21">
        <f>55+(65+2)+70+70+40+40+50+70+70+70+(65-2)+55</f>
        <v>720</v>
      </c>
      <c r="AM21" s="21">
        <f>0+0+0+0+9+8+8</f>
        <v>25</v>
      </c>
      <c r="AN21" s="21">
        <f>0+10+10+0+10+0+10+10+15+0+7</f>
        <v>72</v>
      </c>
      <c r="AO21" s="21">
        <f>20</f>
        <v>20</v>
      </c>
      <c r="AP21" s="29">
        <f t="shared" si="2"/>
        <v>837</v>
      </c>
      <c r="AQ21" s="30">
        <f t="shared" si="3"/>
        <v>1437</v>
      </c>
      <c r="AR21" s="63"/>
      <c r="AS21" s="22"/>
      <c r="AT21" s="22"/>
      <c r="AU21" s="21"/>
      <c r="AV21" s="21"/>
      <c r="AW21" s="29">
        <f t="shared" si="4"/>
        <v>0</v>
      </c>
      <c r="AX21" s="25">
        <f t="shared" si="5"/>
        <v>5.989999999999999</v>
      </c>
      <c r="AY21" s="31">
        <f t="shared" si="6"/>
        <v>6939.2</v>
      </c>
      <c r="AZ21" s="10">
        <f>AY22*100/AY21</f>
        <v>100.59776343094306</v>
      </c>
      <c r="BB21" s="10">
        <f>Y22*100/Y21</f>
        <v>100.36381810912</v>
      </c>
      <c r="BC21" s="10">
        <f>AQ22*100/AQ21</f>
        <v>101.49352818371608</v>
      </c>
    </row>
    <row r="22" spans="1:55" s="6" customFormat="1" ht="15.75" customHeight="1">
      <c r="A22" s="66"/>
      <c r="B22" s="66"/>
      <c r="C22" s="32" t="s">
        <v>46</v>
      </c>
      <c r="D22" s="34">
        <f>0+0+0+0+(0.904+0.8)+1.035+0+1.009+1.561+0</f>
        <v>5.308999999999999</v>
      </c>
      <c r="E22" s="34">
        <f>0+0+0+121.481+(388.812+271.125+54.797+70.767)+(674.745+81.727)+0+635.216+(894.003+122.198+0.001)+0</f>
        <v>3314.8720000000003</v>
      </c>
      <c r="F22" s="33">
        <f>0+0+0+0+0+0+0.56+0</f>
        <v>0.56</v>
      </c>
      <c r="G22" s="34">
        <f>0+0+0+0+0+0+(285.211+54.295)+0</f>
        <v>339.50600000000003</v>
      </c>
      <c r="H22" s="32"/>
      <c r="I22" s="34"/>
      <c r="J22" s="35">
        <f>0+0+1+0+0+0+0</f>
        <v>1</v>
      </c>
      <c r="K22" s="34">
        <f>0+0+166.753+0+0+0+0</f>
        <v>166.753</v>
      </c>
      <c r="L22" s="35">
        <f>0+0+0+1+0+0+0+0+1+0</f>
        <v>2</v>
      </c>
      <c r="M22" s="34">
        <f>0+0+0+29.935+0+0+0+0+38.568+0</f>
        <v>68.503</v>
      </c>
      <c r="N22" s="34"/>
      <c r="O22" s="34"/>
      <c r="P22" s="35"/>
      <c r="Q22" s="34"/>
      <c r="R22" s="32">
        <f>0+0+0+0+1+0+0</f>
        <v>1</v>
      </c>
      <c r="S22" s="34">
        <f>0+0+0+0+396.346+0+0</f>
        <v>396.346</v>
      </c>
      <c r="T22" s="32">
        <f>0+0+0+0+1+0+0</f>
        <v>1</v>
      </c>
      <c r="U22" s="32">
        <f>0+0+0+0+236.808+0+0</f>
        <v>236.808</v>
      </c>
      <c r="V22" s="34"/>
      <c r="W22" s="34"/>
      <c r="X22" s="33">
        <f>999.43</f>
        <v>999.43</v>
      </c>
      <c r="Y22" s="36">
        <f t="shared" si="0"/>
        <v>5522.218000000001</v>
      </c>
      <c r="Z22" s="63"/>
      <c r="AA22" s="66"/>
      <c r="AB22" s="66"/>
      <c r="AC22" s="32" t="s">
        <v>46</v>
      </c>
      <c r="AD22" s="33">
        <f>0+0.2+0.2+0+0+0+0+0.17+0.405+0.25</f>
        <v>1.225</v>
      </c>
      <c r="AE22" s="34">
        <f>0+82.009+82.63+0+0+0+0+56.261+112.762+75.352</f>
        <v>409.014</v>
      </c>
      <c r="AF22" s="32"/>
      <c r="AG22" s="32"/>
      <c r="AH22" s="32">
        <f>0+0+0+0+2+0+1+0</f>
        <v>3</v>
      </c>
      <c r="AI22" s="34">
        <f>0+0+0+0+53.395+0+24.314+0</f>
        <v>77.709</v>
      </c>
      <c r="AJ22" s="34">
        <f>0+29.935+13.277+0+0+34.319+0+0+17.952+24.305</f>
        <v>119.78800000000001</v>
      </c>
      <c r="AK22" s="36">
        <f t="shared" si="1"/>
        <v>606.511</v>
      </c>
      <c r="AL22" s="34">
        <f>57.574+65.479+74.143+69.859+39.587+38.183+81.549+75.477+77.697+57.551+58.088+33.452</f>
        <v>728.639</v>
      </c>
      <c r="AM22" s="34">
        <f>0+0+0+0+9.081+0+15.459+0</f>
        <v>24.54</v>
      </c>
      <c r="AN22" s="34">
        <f>0+10.093+10.608+0+10.265+0+4.905+11.853+16.796+0+14.72</f>
        <v>79.24000000000001</v>
      </c>
      <c r="AO22" s="34">
        <f>0+0+0+8.521+0+0+9.293+1.718+0</f>
        <v>19.532</v>
      </c>
      <c r="AP22" s="36">
        <f t="shared" si="2"/>
        <v>851.951</v>
      </c>
      <c r="AQ22" s="36">
        <f t="shared" si="3"/>
        <v>1458.462</v>
      </c>
      <c r="AR22" s="63"/>
      <c r="AS22" s="35"/>
      <c r="AT22" s="34"/>
      <c r="AU22" s="35"/>
      <c r="AV22" s="34"/>
      <c r="AW22" s="37">
        <f t="shared" si="4"/>
        <v>0</v>
      </c>
      <c r="AX22" s="36">
        <f t="shared" si="5"/>
        <v>7.093999999999999</v>
      </c>
      <c r="AY22" s="38">
        <f t="shared" si="6"/>
        <v>6980.680000000001</v>
      </c>
      <c r="BB22" s="10"/>
      <c r="BC22" s="10"/>
    </row>
    <row r="23" spans="1:55" s="6" customFormat="1" ht="21.75" customHeight="1">
      <c r="A23" s="66">
        <v>6</v>
      </c>
      <c r="B23" s="66" t="s">
        <v>51</v>
      </c>
      <c r="C23" s="12" t="s">
        <v>44</v>
      </c>
      <c r="D23" s="41">
        <v>4.2</v>
      </c>
      <c r="E23" s="13">
        <v>3607</v>
      </c>
      <c r="F23" s="41"/>
      <c r="G23" s="15"/>
      <c r="H23" s="12"/>
      <c r="I23" s="12"/>
      <c r="J23" s="12">
        <v>1</v>
      </c>
      <c r="K23" s="12">
        <v>326</v>
      </c>
      <c r="L23" s="12">
        <v>2</v>
      </c>
      <c r="M23" s="12">
        <v>100</v>
      </c>
      <c r="N23" s="12"/>
      <c r="O23" s="12"/>
      <c r="P23" s="12"/>
      <c r="Q23" s="13"/>
      <c r="R23" s="12">
        <v>1</v>
      </c>
      <c r="S23" s="13">
        <v>375</v>
      </c>
      <c r="T23" s="12"/>
      <c r="U23" s="12"/>
      <c r="V23" s="13"/>
      <c r="W23" s="13"/>
      <c r="X23" s="15">
        <v>338</v>
      </c>
      <c r="Y23" s="17">
        <f t="shared" si="0"/>
        <v>4746</v>
      </c>
      <c r="Z23" s="63">
        <f>Y25*100/Y24</f>
        <v>100.20267593763171</v>
      </c>
      <c r="AA23" s="66">
        <v>6</v>
      </c>
      <c r="AB23" s="66" t="s">
        <v>51</v>
      </c>
      <c r="AC23" s="12" t="s">
        <v>44</v>
      </c>
      <c r="AD23" s="41">
        <v>0.91</v>
      </c>
      <c r="AE23" s="12">
        <v>364</v>
      </c>
      <c r="AF23" s="13"/>
      <c r="AG23" s="12"/>
      <c r="AH23" s="12">
        <v>3</v>
      </c>
      <c r="AI23" s="12">
        <v>80</v>
      </c>
      <c r="AJ23" s="12">
        <v>100</v>
      </c>
      <c r="AK23" s="18">
        <f t="shared" si="1"/>
        <v>544</v>
      </c>
      <c r="AL23" s="12">
        <v>720</v>
      </c>
      <c r="AM23" s="12">
        <v>25</v>
      </c>
      <c r="AN23" s="12">
        <v>85</v>
      </c>
      <c r="AO23" s="12">
        <v>12</v>
      </c>
      <c r="AP23" s="18">
        <f t="shared" si="2"/>
        <v>842</v>
      </c>
      <c r="AQ23" s="18">
        <f t="shared" si="3"/>
        <v>1386</v>
      </c>
      <c r="AR23" s="63">
        <f>AQ25*100/AQ24</f>
        <v>108.86587301587299</v>
      </c>
      <c r="AS23" s="12"/>
      <c r="AT23" s="12"/>
      <c r="AU23" s="12"/>
      <c r="AV23" s="12"/>
      <c r="AW23" s="18">
        <f t="shared" si="4"/>
        <v>0</v>
      </c>
      <c r="AX23" s="19">
        <f t="shared" si="5"/>
        <v>5.11</v>
      </c>
      <c r="AY23" s="20">
        <f t="shared" si="6"/>
        <v>6132</v>
      </c>
      <c r="BB23" s="10"/>
      <c r="BC23" s="10"/>
    </row>
    <row r="24" spans="1:55" s="6" customFormat="1" ht="19.5" customHeight="1">
      <c r="A24" s="66"/>
      <c r="B24" s="66"/>
      <c r="C24" s="21" t="s">
        <v>45</v>
      </c>
      <c r="D24" s="27">
        <f>0+0+0.5+0.6+0.7+0.6+0.6+0.6+0.6</f>
        <v>4.2</v>
      </c>
      <c r="E24" s="22">
        <v>3607</v>
      </c>
      <c r="F24" s="27"/>
      <c r="G24" s="23"/>
      <c r="H24" s="21"/>
      <c r="I24" s="21"/>
      <c r="J24" s="21">
        <f>0+0+0+1+0+0</f>
        <v>1</v>
      </c>
      <c r="K24" s="21">
        <v>326</v>
      </c>
      <c r="L24" s="21">
        <f>0+0+0+0+0+1+0+0+1</f>
        <v>2</v>
      </c>
      <c r="M24" s="21">
        <v>100</v>
      </c>
      <c r="N24" s="21"/>
      <c r="O24" s="21"/>
      <c r="P24" s="21"/>
      <c r="Q24" s="27"/>
      <c r="R24" s="21">
        <f>0+0+0+0+0+0+1</f>
        <v>1</v>
      </c>
      <c r="S24" s="21">
        <v>375</v>
      </c>
      <c r="T24" s="21"/>
      <c r="U24" s="21"/>
      <c r="V24" s="22"/>
      <c r="W24" s="22"/>
      <c r="X24" s="22">
        <v>338</v>
      </c>
      <c r="Y24" s="26">
        <f t="shared" si="0"/>
        <v>4746</v>
      </c>
      <c r="Z24" s="63"/>
      <c r="AA24" s="66"/>
      <c r="AB24" s="66"/>
      <c r="AC24" s="21" t="s">
        <v>45</v>
      </c>
      <c r="AD24" s="27">
        <f>0.17+0.18+0+0+0+0+0+0.35+0.21</f>
        <v>0.9099999999999999</v>
      </c>
      <c r="AE24" s="22">
        <f>68+72+0+0+0+0+0+140+84</f>
        <v>364</v>
      </c>
      <c r="AF24" s="22"/>
      <c r="AG24" s="21"/>
      <c r="AH24" s="21">
        <f>0+0+0+1+1+1</f>
        <v>3</v>
      </c>
      <c r="AI24" s="21">
        <f>0+0+0+26+27+27</f>
        <v>80</v>
      </c>
      <c r="AJ24" s="22">
        <f>0+0+30+0+0+0+0+70</f>
        <v>100</v>
      </c>
      <c r="AK24" s="29">
        <f t="shared" si="1"/>
        <v>544</v>
      </c>
      <c r="AL24" s="21">
        <f>60+60+70+70+50+50+50+50+70+70+60+60</f>
        <v>720</v>
      </c>
      <c r="AM24" s="21">
        <f>0+0+0+5+4+4+4+4+4</f>
        <v>25</v>
      </c>
      <c r="AN24" s="21">
        <f>0+5+10+15+8+8+8+11+10+10</f>
        <v>85</v>
      </c>
      <c r="AO24" s="21">
        <f>0+0+0+0+0+0+0+0+0+6+6</f>
        <v>12</v>
      </c>
      <c r="AP24" s="29">
        <f t="shared" si="2"/>
        <v>842</v>
      </c>
      <c r="AQ24" s="30">
        <f t="shared" si="3"/>
        <v>1386</v>
      </c>
      <c r="AR24" s="63"/>
      <c r="AS24" s="22"/>
      <c r="AT24" s="22"/>
      <c r="AU24" s="21"/>
      <c r="AV24" s="21"/>
      <c r="AW24" s="29">
        <f t="shared" si="4"/>
        <v>0</v>
      </c>
      <c r="AX24" s="25">
        <f t="shared" si="5"/>
        <v>5.11</v>
      </c>
      <c r="AY24" s="31">
        <f t="shared" si="6"/>
        <v>6132</v>
      </c>
      <c r="AZ24" s="10">
        <f>AY25*100/AY24</f>
        <v>102.1607958251794</v>
      </c>
      <c r="BB24" s="10">
        <f>Y25*100/Y24</f>
        <v>100.20267593763171</v>
      </c>
      <c r="BC24" s="10">
        <f>AQ25*100/AQ24</f>
        <v>108.86587301587299</v>
      </c>
    </row>
    <row r="25" spans="1:55" s="6" customFormat="1" ht="19.5" customHeight="1">
      <c r="A25" s="66"/>
      <c r="B25" s="66"/>
      <c r="C25" s="32" t="s">
        <v>46</v>
      </c>
      <c r="D25" s="34">
        <f>0+0+0.5+0.6+1.1+0.6+0.6+0.6+0.6+0.556+0</f>
        <v>5.156</v>
      </c>
      <c r="E25" s="34">
        <f>0+0+356.709+344.893+(632.324+74.368)+(420.184+77.499+78.204)+344.31+(425.06+89.242)+437.896+285.501+0+43.525</f>
        <v>3609.7150000000006</v>
      </c>
      <c r="F25" s="33"/>
      <c r="G25" s="34"/>
      <c r="H25" s="32"/>
      <c r="I25" s="34"/>
      <c r="J25" s="35">
        <f>0+0+0+1+0+0+0</f>
        <v>1</v>
      </c>
      <c r="K25" s="34">
        <f>0+0+0+326.659+0+0+0</f>
        <v>326.659</v>
      </c>
      <c r="L25" s="35">
        <f>0+0+0+0+0+1+0+1+0</f>
        <v>2</v>
      </c>
      <c r="M25" s="34">
        <f>0+0+0+0+0+54.389+0+47.15+0</f>
        <v>101.539</v>
      </c>
      <c r="N25" s="34"/>
      <c r="O25" s="34"/>
      <c r="P25" s="35"/>
      <c r="Q25" s="34"/>
      <c r="R25" s="32">
        <f>0+0+0+0+0+0+1+0</f>
        <v>1</v>
      </c>
      <c r="S25" s="32">
        <f>0+0+0+0+0+0+377.735+0</f>
        <v>377.735</v>
      </c>
      <c r="T25" s="32"/>
      <c r="U25" s="34"/>
      <c r="V25" s="34"/>
      <c r="W25" s="34"/>
      <c r="X25" s="34">
        <f>311.244+28.727</f>
        <v>339.971</v>
      </c>
      <c r="Y25" s="36">
        <f t="shared" si="0"/>
        <v>4755.619000000001</v>
      </c>
      <c r="Z25" s="63"/>
      <c r="AA25" s="66"/>
      <c r="AB25" s="66"/>
      <c r="AC25" s="32" t="s">
        <v>46</v>
      </c>
      <c r="AD25" s="34">
        <f>0.17+0.18+0+0+0+0+0+0.35+0.21</f>
        <v>0.9099999999999999</v>
      </c>
      <c r="AE25" s="34">
        <f>68.097+73.287+0+0+0+0+0+156.018+149.475</f>
        <v>446.87700000000007</v>
      </c>
      <c r="AF25" s="32"/>
      <c r="AG25" s="32"/>
      <c r="AH25" s="32">
        <f>0+0+0+1+1+1+0</f>
        <v>3</v>
      </c>
      <c r="AI25" s="34">
        <f>0+0+0+29.628+27.565+27.078+0</f>
        <v>84.271</v>
      </c>
      <c r="AJ25" s="34">
        <f>0+0+30.155+0+0+0+0+0+77.135</f>
        <v>107.29</v>
      </c>
      <c r="AK25" s="36">
        <f t="shared" si="1"/>
        <v>638.438</v>
      </c>
      <c r="AL25" s="34">
        <f>61.39+60.692+70.923+70.104+51.042+50.332+50.164+54.932+69.024+70.253+60.33+60.318</f>
        <v>729.504</v>
      </c>
      <c r="AM25" s="34">
        <f>0+0+0+5.525+4.197+4.292+5.76+4.028+6.631</f>
        <v>30.433</v>
      </c>
      <c r="AN25" s="34">
        <f>0+5.656+10.145+23.916+8.485+8.538+8.553+11.124+10.625+10.871+0</f>
        <v>97.91299999999998</v>
      </c>
      <c r="AO25" s="34">
        <f>6.531+6.062</f>
        <v>12.593</v>
      </c>
      <c r="AP25" s="36">
        <f t="shared" si="2"/>
        <v>870.443</v>
      </c>
      <c r="AQ25" s="36">
        <f t="shared" si="3"/>
        <v>1508.8809999999999</v>
      </c>
      <c r="AR25" s="63"/>
      <c r="AS25" s="35"/>
      <c r="AT25" s="34"/>
      <c r="AU25" s="35"/>
      <c r="AV25" s="34"/>
      <c r="AW25" s="37">
        <f t="shared" si="4"/>
        <v>0</v>
      </c>
      <c r="AX25" s="36">
        <f t="shared" si="5"/>
        <v>6.066</v>
      </c>
      <c r="AY25" s="38">
        <f t="shared" si="6"/>
        <v>6264.500000000001</v>
      </c>
      <c r="BB25" s="10"/>
      <c r="BC25" s="10"/>
    </row>
    <row r="26" spans="1:55" s="6" customFormat="1" ht="19.5" customHeight="1">
      <c r="A26" s="66">
        <v>7</v>
      </c>
      <c r="B26" s="66" t="s">
        <v>52</v>
      </c>
      <c r="C26" s="12" t="s">
        <v>44</v>
      </c>
      <c r="D26" s="14">
        <v>3.705</v>
      </c>
      <c r="E26" s="13">
        <v>2890</v>
      </c>
      <c r="F26" s="41"/>
      <c r="G26" s="15"/>
      <c r="H26" s="12"/>
      <c r="I26" s="12"/>
      <c r="J26" s="12">
        <v>1</v>
      </c>
      <c r="K26" s="12">
        <f>134-16</f>
        <v>118</v>
      </c>
      <c r="L26" s="12">
        <v>2</v>
      </c>
      <c r="M26" s="12">
        <v>60</v>
      </c>
      <c r="N26" s="12"/>
      <c r="O26" s="12"/>
      <c r="P26" s="12"/>
      <c r="Q26" s="13"/>
      <c r="R26" s="12"/>
      <c r="S26" s="13"/>
      <c r="T26" s="12"/>
      <c r="U26" s="12"/>
      <c r="V26" s="13"/>
      <c r="W26" s="13"/>
      <c r="X26" s="13">
        <v>1307</v>
      </c>
      <c r="Y26" s="16">
        <f t="shared" si="0"/>
        <v>4375</v>
      </c>
      <c r="Z26" s="63">
        <f>Y28*100/Y27</f>
        <v>100.13554285714285</v>
      </c>
      <c r="AA26" s="66">
        <v>7</v>
      </c>
      <c r="AB26" s="66" t="s">
        <v>52</v>
      </c>
      <c r="AC26" s="12" t="s">
        <v>44</v>
      </c>
      <c r="AD26" s="41">
        <v>3.27</v>
      </c>
      <c r="AE26" s="12">
        <v>1308</v>
      </c>
      <c r="AF26" s="13"/>
      <c r="AG26" s="12"/>
      <c r="AH26" s="12">
        <v>3</v>
      </c>
      <c r="AI26" s="12">
        <v>60</v>
      </c>
      <c r="AJ26" s="12">
        <v>100</v>
      </c>
      <c r="AK26" s="18">
        <f t="shared" si="1"/>
        <v>1468</v>
      </c>
      <c r="AL26" s="12">
        <v>720</v>
      </c>
      <c r="AM26" s="12">
        <v>25</v>
      </c>
      <c r="AN26" s="12">
        <v>80</v>
      </c>
      <c r="AO26" s="12">
        <v>12</v>
      </c>
      <c r="AP26" s="18">
        <f t="shared" si="2"/>
        <v>837</v>
      </c>
      <c r="AQ26" s="18">
        <f t="shared" si="3"/>
        <v>2305</v>
      </c>
      <c r="AR26" s="63">
        <f>AQ28*100/AQ27</f>
        <v>103.07062906724512</v>
      </c>
      <c r="AS26" s="12"/>
      <c r="AT26" s="12"/>
      <c r="AU26" s="12"/>
      <c r="AV26" s="12"/>
      <c r="AW26" s="18">
        <f t="shared" si="4"/>
        <v>0</v>
      </c>
      <c r="AX26" s="19">
        <f t="shared" si="5"/>
        <v>6.975</v>
      </c>
      <c r="AY26" s="20">
        <f t="shared" si="6"/>
        <v>6680</v>
      </c>
      <c r="BB26" s="10"/>
      <c r="BC26" s="10"/>
    </row>
    <row r="27" spans="1:55" s="6" customFormat="1" ht="19.5" customHeight="1">
      <c r="A27" s="66"/>
      <c r="B27" s="66"/>
      <c r="C27" s="21" t="s">
        <v>45</v>
      </c>
      <c r="D27" s="23">
        <f>0+0+0+0+1.2+1.225+0+0.35+0.93</f>
        <v>3.705</v>
      </c>
      <c r="E27" s="22">
        <v>2890</v>
      </c>
      <c r="F27" s="27"/>
      <c r="G27" s="23"/>
      <c r="H27" s="21"/>
      <c r="I27" s="21"/>
      <c r="J27" s="21">
        <f>0+0+0+0+0+0+1</f>
        <v>1</v>
      </c>
      <c r="K27" s="21">
        <v>118</v>
      </c>
      <c r="L27" s="21">
        <f>0+0+0+0+1+0+0+1</f>
        <v>2</v>
      </c>
      <c r="M27" s="21">
        <v>60</v>
      </c>
      <c r="N27" s="21"/>
      <c r="O27" s="21"/>
      <c r="P27" s="21"/>
      <c r="Q27" s="27"/>
      <c r="R27" s="21"/>
      <c r="S27" s="24"/>
      <c r="T27" s="21"/>
      <c r="U27" s="21"/>
      <c r="V27" s="22"/>
      <c r="W27" s="22"/>
      <c r="X27" s="22">
        <v>1307</v>
      </c>
      <c r="Y27" s="30">
        <f t="shared" si="0"/>
        <v>4375</v>
      </c>
      <c r="Z27" s="63"/>
      <c r="AA27" s="66"/>
      <c r="AB27" s="66"/>
      <c r="AC27" s="21" t="s">
        <v>45</v>
      </c>
      <c r="AD27" s="27">
        <f>0+0.15+(0.1+0.16+0.12)+(0.4+0.2)+(0.18+0.12)+(0.47+0.25)+(0.12+0.12)+0.12+(0.27+0.1)+0.2+0.19</f>
        <v>3.270000000000001</v>
      </c>
      <c r="AE27" s="22">
        <f>60+152+240+120+(188+100)+(48+48)+48+(108+40)+80+76</f>
        <v>1308</v>
      </c>
      <c r="AF27" s="22"/>
      <c r="AG27" s="21"/>
      <c r="AH27" s="21">
        <f>0+0+0+1+1+1</f>
        <v>3</v>
      </c>
      <c r="AI27" s="21">
        <f>0+0+0+20+20+20</f>
        <v>60</v>
      </c>
      <c r="AJ27" s="22">
        <f>0+(40-2.2)+2.2+0+0+0+0+60</f>
        <v>100</v>
      </c>
      <c r="AK27" s="29">
        <f t="shared" si="1"/>
        <v>1468</v>
      </c>
      <c r="AL27" s="21">
        <f>40+60+70+60+60+60+60+60+65+70+65+50</f>
        <v>720</v>
      </c>
      <c r="AM27" s="21">
        <f>0+0+0+0+13+0+0+12</f>
        <v>25</v>
      </c>
      <c r="AN27" s="21">
        <f>0+6+5+6+12+16+5+5+10+9+6</f>
        <v>80</v>
      </c>
      <c r="AO27" s="21">
        <f>0+0+6+0+0+0+0+6</f>
        <v>12</v>
      </c>
      <c r="AP27" s="29">
        <f t="shared" si="2"/>
        <v>837</v>
      </c>
      <c r="AQ27" s="30">
        <f t="shared" si="3"/>
        <v>2305</v>
      </c>
      <c r="AR27" s="63"/>
      <c r="AS27" s="22"/>
      <c r="AT27" s="22"/>
      <c r="AU27" s="21"/>
      <c r="AV27" s="21"/>
      <c r="AW27" s="29">
        <f t="shared" si="4"/>
        <v>0</v>
      </c>
      <c r="AX27" s="25">
        <f t="shared" si="5"/>
        <v>6.975000000000001</v>
      </c>
      <c r="AY27" s="31">
        <f t="shared" si="6"/>
        <v>6680</v>
      </c>
      <c r="AZ27" s="10">
        <f>AY28*100/AY27</f>
        <v>101.14832335329342</v>
      </c>
      <c r="BB27" s="10">
        <f>Y28*100/Y27</f>
        <v>100.13554285714285</v>
      </c>
      <c r="BC27" s="10">
        <f>AQ28*100/AQ27</f>
        <v>103.07062906724512</v>
      </c>
    </row>
    <row r="28" spans="1:55" s="6" customFormat="1" ht="19.5" customHeight="1">
      <c r="A28" s="66"/>
      <c r="B28" s="66"/>
      <c r="C28" s="32" t="s">
        <v>46</v>
      </c>
      <c r="D28" s="34">
        <f>0+0+0+0+1.1+0+0.98+0.21+0.35+0.8+0.815</f>
        <v>4.255000000000001</v>
      </c>
      <c r="E28" s="34">
        <f>0+0+0+84.799+(480.227+86.423)+(115.64+65.287)+510.292+245.948+(15.265+0.001)+(263.249+61.843)+(410.531+551.307)</f>
        <v>2890.812</v>
      </c>
      <c r="F28" s="33"/>
      <c r="G28" s="34"/>
      <c r="H28" s="32"/>
      <c r="I28" s="34"/>
      <c r="J28" s="35">
        <f>0+0+0+0+0+0+1</f>
        <v>1</v>
      </c>
      <c r="K28" s="33">
        <f>0+0+0+0+0+0+118.13</f>
        <v>118.13</v>
      </c>
      <c r="L28" s="35">
        <f>0+0+0+0+1+0+0+1</f>
        <v>2</v>
      </c>
      <c r="M28" s="34">
        <f>0+0+0+0+34.427+0+0+30.601</f>
        <v>65.02799999999999</v>
      </c>
      <c r="N28" s="34"/>
      <c r="O28" s="34"/>
      <c r="P28" s="35"/>
      <c r="Q28" s="34"/>
      <c r="R28" s="32"/>
      <c r="S28" s="34"/>
      <c r="T28" s="32"/>
      <c r="U28" s="34"/>
      <c r="V28" s="34"/>
      <c r="W28" s="34"/>
      <c r="X28" s="34">
        <f>161.739+0+1145.221</f>
        <v>1306.96</v>
      </c>
      <c r="Y28" s="36">
        <f t="shared" si="0"/>
        <v>4380.93</v>
      </c>
      <c r="Z28" s="63"/>
      <c r="AA28" s="66"/>
      <c r="AB28" s="66"/>
      <c r="AC28" s="32" t="s">
        <v>46</v>
      </c>
      <c r="AD28" s="33">
        <f>0+0.15+0.4+0.6+0.3+(0.25+0.47)+(0.24)+0.12+(0.27+0.1)+0.2+0.19</f>
        <v>3.2900000000000005</v>
      </c>
      <c r="AE28" s="34">
        <f>0+84.62+177.899+150.008+135.312+(110.031+241.359)+97.14+48.882+147.211+114.422+66.14</f>
        <v>1373.0240000000001</v>
      </c>
      <c r="AF28" s="32"/>
      <c r="AG28" s="32"/>
      <c r="AH28" s="32">
        <f>0+0+0+1+0+2+0</f>
        <v>3</v>
      </c>
      <c r="AI28" s="34">
        <f>0+0+0+10.363+0+(18.92+32.511)+0</f>
        <v>61.794000000000004</v>
      </c>
      <c r="AJ28" s="34">
        <f>0+12.787+8.463+10.164+3.098+0+8.241+0+44.038</f>
        <v>86.791</v>
      </c>
      <c r="AK28" s="36">
        <f t="shared" si="1"/>
        <v>1521.6090000000002</v>
      </c>
      <c r="AL28" s="34">
        <f>41.573+59.071+75.675+75.066+65.96+56.005+(56.334-0.003)+67.438+65.405+57.19+47.075+47.741</f>
        <v>714.53</v>
      </c>
      <c r="AM28" s="34">
        <f>0+0+0+0+0+3.401+3.379+13.981+8.314+7.932+0</f>
        <v>37.007</v>
      </c>
      <c r="AN28" s="34">
        <f>0+6.375+5.972+4.806+24.368+5.715+5.741+8.484+5.118+20.745+3.942</f>
        <v>91.26600000000002</v>
      </c>
      <c r="AO28" s="34">
        <f>0+0+6.092+0+0+0+0+3.614+0+1.66</f>
        <v>11.366</v>
      </c>
      <c r="AP28" s="36">
        <f t="shared" si="2"/>
        <v>854.1689999999999</v>
      </c>
      <c r="AQ28" s="36">
        <f t="shared" si="3"/>
        <v>2375.7780000000002</v>
      </c>
      <c r="AR28" s="63"/>
      <c r="AS28" s="35"/>
      <c r="AT28" s="34"/>
      <c r="AU28" s="35"/>
      <c r="AV28" s="34"/>
      <c r="AW28" s="37">
        <f t="shared" si="4"/>
        <v>0</v>
      </c>
      <c r="AX28" s="36">
        <f t="shared" si="5"/>
        <v>7.545000000000002</v>
      </c>
      <c r="AY28" s="38">
        <f t="shared" si="6"/>
        <v>6756.7080000000005</v>
      </c>
      <c r="BB28" s="10"/>
      <c r="BC28" s="10"/>
    </row>
    <row r="29" spans="1:55" s="6" customFormat="1" ht="19.5" customHeight="1">
      <c r="A29" s="66">
        <v>8</v>
      </c>
      <c r="B29" s="66" t="s">
        <v>53</v>
      </c>
      <c r="C29" s="12" t="s">
        <v>44</v>
      </c>
      <c r="D29" s="41">
        <v>2.9</v>
      </c>
      <c r="E29" s="13">
        <v>1980</v>
      </c>
      <c r="F29" s="41"/>
      <c r="G29" s="15"/>
      <c r="H29" s="12"/>
      <c r="I29" s="12"/>
      <c r="J29" s="12">
        <v>1</v>
      </c>
      <c r="K29" s="12">
        <v>200</v>
      </c>
      <c r="L29" s="12">
        <v>2</v>
      </c>
      <c r="M29" s="12">
        <v>60</v>
      </c>
      <c r="N29" s="12"/>
      <c r="O29" s="12"/>
      <c r="P29" s="12"/>
      <c r="Q29" s="13"/>
      <c r="R29" s="12">
        <v>1</v>
      </c>
      <c r="S29" s="13">
        <f>379-25</f>
        <v>354</v>
      </c>
      <c r="T29" s="12"/>
      <c r="U29" s="12"/>
      <c r="V29" s="13"/>
      <c r="W29" s="13"/>
      <c r="X29" s="13"/>
      <c r="Y29" s="16">
        <f t="shared" si="0"/>
        <v>2594</v>
      </c>
      <c r="Z29" s="63">
        <f>Y31*100/Y30</f>
        <v>100.51557440246724</v>
      </c>
      <c r="AA29" s="66">
        <v>8</v>
      </c>
      <c r="AB29" s="66" t="s">
        <v>53</v>
      </c>
      <c r="AC29" s="12" t="s">
        <v>44</v>
      </c>
      <c r="AD29" s="41">
        <v>1.71</v>
      </c>
      <c r="AE29" s="12">
        <v>684</v>
      </c>
      <c r="AF29" s="13"/>
      <c r="AG29" s="12"/>
      <c r="AH29" s="12">
        <v>3</v>
      </c>
      <c r="AI29" s="12">
        <v>60</v>
      </c>
      <c r="AJ29" s="12">
        <f>120+12</f>
        <v>132</v>
      </c>
      <c r="AK29" s="18">
        <f t="shared" si="1"/>
        <v>876</v>
      </c>
      <c r="AL29" s="12">
        <v>720</v>
      </c>
      <c r="AM29" s="12">
        <v>25</v>
      </c>
      <c r="AN29" s="12">
        <v>80</v>
      </c>
      <c r="AO29" s="12"/>
      <c r="AP29" s="18">
        <f t="shared" si="2"/>
        <v>825</v>
      </c>
      <c r="AQ29" s="18">
        <f t="shared" si="3"/>
        <v>1701</v>
      </c>
      <c r="AR29" s="63">
        <f>AQ31*100/AQ30</f>
        <v>102.76025867136978</v>
      </c>
      <c r="AS29" s="12"/>
      <c r="AT29" s="12"/>
      <c r="AU29" s="12"/>
      <c r="AV29" s="12"/>
      <c r="AW29" s="18">
        <f t="shared" si="4"/>
        <v>0</v>
      </c>
      <c r="AX29" s="19">
        <f t="shared" si="5"/>
        <v>4.609999999999999</v>
      </c>
      <c r="AY29" s="20">
        <f t="shared" si="6"/>
        <v>4295</v>
      </c>
      <c r="BB29" s="10"/>
      <c r="BC29" s="10"/>
    </row>
    <row r="30" spans="1:55" s="6" customFormat="1" ht="19.5" customHeight="1">
      <c r="A30" s="66"/>
      <c r="B30" s="66"/>
      <c r="C30" s="21" t="s">
        <v>45</v>
      </c>
      <c r="D30" s="27">
        <f>0+0+0+0.44+0.44+0.3+0.32+1.4</f>
        <v>2.9</v>
      </c>
      <c r="E30" s="22">
        <v>1980</v>
      </c>
      <c r="F30" s="27"/>
      <c r="G30" s="23"/>
      <c r="H30" s="21"/>
      <c r="I30" s="21"/>
      <c r="J30" s="21">
        <f>0+0+1+0+0</f>
        <v>1</v>
      </c>
      <c r="K30" s="21">
        <v>200</v>
      </c>
      <c r="L30" s="21">
        <f>0+0+0+0+0+0+0+0+2</f>
        <v>2</v>
      </c>
      <c r="M30" s="21">
        <v>60</v>
      </c>
      <c r="N30" s="21"/>
      <c r="O30" s="21"/>
      <c r="P30" s="21"/>
      <c r="Q30" s="27"/>
      <c r="R30" s="21">
        <f>0+0+0+0+0+1</f>
        <v>1</v>
      </c>
      <c r="S30" s="21">
        <v>354</v>
      </c>
      <c r="T30" s="21"/>
      <c r="U30" s="21"/>
      <c r="V30" s="22"/>
      <c r="W30" s="22"/>
      <c r="X30" s="22"/>
      <c r="Y30" s="30">
        <f t="shared" si="0"/>
        <v>2594</v>
      </c>
      <c r="Z30" s="63"/>
      <c r="AA30" s="66"/>
      <c r="AB30" s="66"/>
      <c r="AC30" s="21" t="s">
        <v>45</v>
      </c>
      <c r="AD30" s="27">
        <f>0+0+0+0+0+0+0+0+0+1.05+0.66</f>
        <v>1.71</v>
      </c>
      <c r="AE30" s="22">
        <f>0+0+0+0+0+0+0+0+0+420+264</f>
        <v>684</v>
      </c>
      <c r="AF30" s="22"/>
      <c r="AG30" s="21"/>
      <c r="AH30" s="21">
        <f>0+0+0+1+1+1</f>
        <v>3</v>
      </c>
      <c r="AI30" s="21">
        <f>0+0+0+20+20+20</f>
        <v>60</v>
      </c>
      <c r="AJ30" s="22">
        <v>132</v>
      </c>
      <c r="AK30" s="29">
        <f t="shared" si="1"/>
        <v>876</v>
      </c>
      <c r="AL30" s="21">
        <f>(50+5)+(60-5)+70+80+80+50+45+45+80+70+50+40</f>
        <v>720</v>
      </c>
      <c r="AM30" s="21">
        <f>0+0+0+0+0+10+9+6</f>
        <v>25</v>
      </c>
      <c r="AN30" s="21">
        <f>0+0+15+15+10+0+0+10+15+15</f>
        <v>80</v>
      </c>
      <c r="AO30" s="21"/>
      <c r="AP30" s="29">
        <f t="shared" si="2"/>
        <v>825</v>
      </c>
      <c r="AQ30" s="30">
        <f t="shared" si="3"/>
        <v>1701</v>
      </c>
      <c r="AR30" s="63"/>
      <c r="AS30" s="22"/>
      <c r="AT30" s="22"/>
      <c r="AU30" s="21"/>
      <c r="AV30" s="21"/>
      <c r="AW30" s="29">
        <f t="shared" si="4"/>
        <v>0</v>
      </c>
      <c r="AX30" s="25">
        <f t="shared" si="5"/>
        <v>4.609999999999999</v>
      </c>
      <c r="AY30" s="31">
        <f t="shared" si="6"/>
        <v>4295</v>
      </c>
      <c r="AZ30" s="10">
        <f>AY31*100/AY30</f>
        <v>101.40456344586731</v>
      </c>
      <c r="BB30" s="10">
        <f>Y31*100/Y30</f>
        <v>100.51557440246724</v>
      </c>
      <c r="BC30" s="10">
        <f>AQ31*100/AQ30</f>
        <v>102.76025867136978</v>
      </c>
    </row>
    <row r="31" spans="1:55" s="6" customFormat="1" ht="19.5" customHeight="1">
      <c r="A31" s="66"/>
      <c r="B31" s="66"/>
      <c r="C31" s="32" t="s">
        <v>46</v>
      </c>
      <c r="D31" s="34">
        <f>0+0+0+0.403+0.143+0.165+0.616+0+1.183</f>
        <v>2.51</v>
      </c>
      <c r="E31" s="34">
        <f>0+0+0+(252.503+42.742)+295.228+(174.119+61.53)+359.741+0+(705.417+89.477)</f>
        <v>1980.7569999999998</v>
      </c>
      <c r="F31" s="33"/>
      <c r="G31" s="34"/>
      <c r="H31" s="32"/>
      <c r="I31" s="34"/>
      <c r="J31" s="35">
        <f>0+0+1+0+0+0+0</f>
        <v>1</v>
      </c>
      <c r="K31" s="34">
        <f>0+0+204.915+0+0+0+0+0</f>
        <v>204.915</v>
      </c>
      <c r="L31" s="35">
        <f>0+0+0+0+0+0+0+0+2+0</f>
        <v>2</v>
      </c>
      <c r="M31" s="34">
        <f>0+0+0+0+0+0+0+0+67.431+0</f>
        <v>67.431</v>
      </c>
      <c r="N31" s="34"/>
      <c r="O31" s="34"/>
      <c r="P31" s="35"/>
      <c r="Q31" s="34"/>
      <c r="R31" s="32">
        <f>1+0</f>
        <v>1</v>
      </c>
      <c r="S31" s="34">
        <f>0+0+0+0+0+354.271+0</f>
        <v>354.271</v>
      </c>
      <c r="T31" s="32"/>
      <c r="U31" s="34"/>
      <c r="V31" s="34"/>
      <c r="W31" s="34"/>
      <c r="X31" s="34"/>
      <c r="Y31" s="36">
        <f t="shared" si="0"/>
        <v>2607.3740000000003</v>
      </c>
      <c r="Z31" s="63"/>
      <c r="AA31" s="66"/>
      <c r="AB31" s="66"/>
      <c r="AC31" s="32" t="s">
        <v>46</v>
      </c>
      <c r="AD31" s="34">
        <f>1.05+0.66</f>
        <v>1.71</v>
      </c>
      <c r="AE31" s="34">
        <f>423.414+254.872</f>
        <v>678.2860000000001</v>
      </c>
      <c r="AF31" s="32"/>
      <c r="AG31" s="32"/>
      <c r="AH31" s="32">
        <f>0+0+0+1+1+1+0</f>
        <v>3</v>
      </c>
      <c r="AI31" s="32">
        <f>0+0+0+20.222+20.679+28.235+0</f>
        <v>69.136</v>
      </c>
      <c r="AJ31" s="34">
        <f>0+32.035+0+0+0+(7.199+16.942)+52.515+0+27.261</f>
        <v>135.952</v>
      </c>
      <c r="AK31" s="36">
        <f t="shared" si="1"/>
        <v>883.374</v>
      </c>
      <c r="AL31" s="34">
        <f>55.924+55.227+69.439+79.938+79.806+50.797+53.949+203.916+(13.781+0.001)+62.158+16.9+10.274</f>
        <v>752.11</v>
      </c>
      <c r="AM31" s="34">
        <f>0+0+0+0+2.161+9.523+13.668+6.498+0</f>
        <v>31.849999999999998</v>
      </c>
      <c r="AN31" s="34">
        <f>0+0+15.454+15.372+9.269+4.872+3.818+3.149+13.851+14.369+0.464</f>
        <v>80.618</v>
      </c>
      <c r="AO31" s="35"/>
      <c r="AP31" s="36">
        <f t="shared" si="2"/>
        <v>864.578</v>
      </c>
      <c r="AQ31" s="36">
        <f t="shared" si="3"/>
        <v>1747.952</v>
      </c>
      <c r="AR31" s="63"/>
      <c r="AS31" s="35"/>
      <c r="AT31" s="34"/>
      <c r="AU31" s="35"/>
      <c r="AV31" s="34"/>
      <c r="AW31" s="37">
        <f t="shared" si="4"/>
        <v>0</v>
      </c>
      <c r="AX31" s="36">
        <f t="shared" si="5"/>
        <v>4.22</v>
      </c>
      <c r="AY31" s="38">
        <f t="shared" si="6"/>
        <v>4355.326000000001</v>
      </c>
      <c r="BB31" s="10"/>
      <c r="BC31" s="10"/>
    </row>
    <row r="32" spans="1:55" s="6" customFormat="1" ht="19.5" customHeight="1">
      <c r="A32" s="66">
        <v>9</v>
      </c>
      <c r="B32" s="66" t="s">
        <v>54</v>
      </c>
      <c r="C32" s="12" t="s">
        <v>44</v>
      </c>
      <c r="D32" s="41">
        <v>2.57</v>
      </c>
      <c r="E32" s="13">
        <v>1864</v>
      </c>
      <c r="F32" s="14"/>
      <c r="G32" s="15"/>
      <c r="H32" s="12"/>
      <c r="I32" s="12"/>
      <c r="J32" s="12"/>
      <c r="K32" s="12"/>
      <c r="L32" s="12">
        <v>1</v>
      </c>
      <c r="M32" s="12">
        <v>135</v>
      </c>
      <c r="N32" s="12"/>
      <c r="O32" s="12"/>
      <c r="P32" s="12"/>
      <c r="Q32" s="13"/>
      <c r="R32" s="12"/>
      <c r="S32" s="13"/>
      <c r="T32" s="12"/>
      <c r="U32" s="12"/>
      <c r="V32" s="13"/>
      <c r="W32" s="13"/>
      <c r="X32" s="13"/>
      <c r="Y32" s="16">
        <f t="shared" si="0"/>
        <v>1999</v>
      </c>
      <c r="Z32" s="63">
        <f>Y34*100/Y33</f>
        <v>100.04722361180592</v>
      </c>
      <c r="AA32" s="66">
        <v>9</v>
      </c>
      <c r="AB32" s="66" t="s">
        <v>54</v>
      </c>
      <c r="AC32" s="12" t="s">
        <v>44</v>
      </c>
      <c r="AD32" s="15">
        <v>2</v>
      </c>
      <c r="AE32" s="12">
        <v>800</v>
      </c>
      <c r="AF32" s="41"/>
      <c r="AG32" s="12"/>
      <c r="AH32" s="12">
        <v>4</v>
      </c>
      <c r="AI32" s="12">
        <v>80</v>
      </c>
      <c r="AJ32" s="12">
        <f>100-35</f>
        <v>65</v>
      </c>
      <c r="AK32" s="18">
        <f t="shared" si="1"/>
        <v>945</v>
      </c>
      <c r="AL32" s="12">
        <v>720</v>
      </c>
      <c r="AM32" s="12">
        <v>25</v>
      </c>
      <c r="AN32" s="12">
        <f>80-40</f>
        <v>40</v>
      </c>
      <c r="AO32" s="12">
        <f>12+35+40</f>
        <v>87</v>
      </c>
      <c r="AP32" s="18">
        <f t="shared" si="2"/>
        <v>872</v>
      </c>
      <c r="AQ32" s="18">
        <f t="shared" si="3"/>
        <v>1817</v>
      </c>
      <c r="AR32" s="63">
        <f>AQ34*100/AQ33</f>
        <v>103.35459548706659</v>
      </c>
      <c r="AS32" s="12"/>
      <c r="AT32" s="12"/>
      <c r="AU32" s="12"/>
      <c r="AV32" s="12"/>
      <c r="AW32" s="18">
        <f t="shared" si="4"/>
        <v>0</v>
      </c>
      <c r="AX32" s="19">
        <f t="shared" si="5"/>
        <v>4.57</v>
      </c>
      <c r="AY32" s="20">
        <f t="shared" si="6"/>
        <v>3816</v>
      </c>
      <c r="BB32" s="10"/>
      <c r="BC32" s="10"/>
    </row>
    <row r="33" spans="1:55" s="6" customFormat="1" ht="19.5" customHeight="1">
      <c r="A33" s="66"/>
      <c r="B33" s="66"/>
      <c r="C33" s="21" t="s">
        <v>45</v>
      </c>
      <c r="D33" s="27">
        <f>0+0+0.75+0.6+0+0.66+0.56</f>
        <v>2.5700000000000003</v>
      </c>
      <c r="E33" s="22">
        <v>1864</v>
      </c>
      <c r="F33" s="27"/>
      <c r="G33" s="23"/>
      <c r="H33" s="21"/>
      <c r="I33" s="21"/>
      <c r="J33" s="21"/>
      <c r="K33" s="21"/>
      <c r="L33" s="21">
        <f>0+0+0+0+1</f>
        <v>1</v>
      </c>
      <c r="M33" s="21">
        <v>135</v>
      </c>
      <c r="N33" s="21"/>
      <c r="O33" s="21"/>
      <c r="P33" s="21"/>
      <c r="Q33" s="27"/>
      <c r="R33" s="21"/>
      <c r="S33" s="24"/>
      <c r="T33" s="21"/>
      <c r="U33" s="21"/>
      <c r="V33" s="22"/>
      <c r="W33" s="22"/>
      <c r="X33" s="22"/>
      <c r="Y33" s="30">
        <f t="shared" si="0"/>
        <v>1999</v>
      </c>
      <c r="Z33" s="63"/>
      <c r="AA33" s="66"/>
      <c r="AB33" s="66"/>
      <c r="AC33" s="21" t="s">
        <v>45</v>
      </c>
      <c r="AD33" s="27">
        <f>0+0+0+(0.11+0.16)+0.42+0+0+0.21+(0.4+0.35)+0.35</f>
        <v>2</v>
      </c>
      <c r="AE33" s="22">
        <f>0+0+0+(44+64-22)+168+22+0+0+84+(160+140)+140</f>
        <v>800</v>
      </c>
      <c r="AF33" s="22"/>
      <c r="AG33" s="21"/>
      <c r="AH33" s="21">
        <f>0+0+0+1+1+1+1</f>
        <v>4</v>
      </c>
      <c r="AI33" s="21">
        <f>0+0+0+(20-6)+(20+6)+20+20</f>
        <v>80</v>
      </c>
      <c r="AJ33" s="22">
        <f>0+10+0+0+0+30+0+25</f>
        <v>65</v>
      </c>
      <c r="AK33" s="29">
        <f t="shared" si="1"/>
        <v>945</v>
      </c>
      <c r="AL33" s="21">
        <f>(45+10)+(60-10)+80+80+50+50+50+50+(50+30+80)+65+30</f>
        <v>720</v>
      </c>
      <c r="AM33" s="21">
        <f>0+0+0+5+5+5+5+5</f>
        <v>25</v>
      </c>
      <c r="AN33" s="21">
        <f>(0+6)+0+(10-6)+15+10+0+0+5</f>
        <v>40</v>
      </c>
      <c r="AO33" s="21">
        <f>(0+2)+0+(10-6)+17.5+17.5+20+19+7</f>
        <v>87</v>
      </c>
      <c r="AP33" s="29">
        <f t="shared" si="2"/>
        <v>872</v>
      </c>
      <c r="AQ33" s="30">
        <f t="shared" si="3"/>
        <v>1817</v>
      </c>
      <c r="AR33" s="63"/>
      <c r="AS33" s="22"/>
      <c r="AT33" s="22"/>
      <c r="AU33" s="21"/>
      <c r="AV33" s="21"/>
      <c r="AW33" s="29">
        <f t="shared" si="4"/>
        <v>0</v>
      </c>
      <c r="AX33" s="25">
        <f t="shared" si="5"/>
        <v>4.57</v>
      </c>
      <c r="AY33" s="31">
        <f t="shared" si="6"/>
        <v>3816</v>
      </c>
      <c r="AZ33" s="10">
        <f>AY34*100/AY33</f>
        <v>101.62203878406709</v>
      </c>
      <c r="BB33" s="10">
        <f>Y34*100/Y33</f>
        <v>100.04722361180592</v>
      </c>
      <c r="BC33" s="10">
        <f>AQ34*100/AQ33</f>
        <v>103.35459548706659</v>
      </c>
    </row>
    <row r="34" spans="1:55" s="6" customFormat="1" ht="19.5" customHeight="1">
      <c r="A34" s="66"/>
      <c r="B34" s="66"/>
      <c r="C34" s="32" t="s">
        <v>46</v>
      </c>
      <c r="D34" s="34">
        <f>0+0+(0.62+0.02)+0.69+0+0.805+(0.315+0.345)</f>
        <v>2.795</v>
      </c>
      <c r="E34" s="34">
        <f>0+0+371.785+(452.553+50.727)+(44.621)+(418.043+63.017)+387.636+(24.043+52.214)</f>
        <v>1864.6390000000001</v>
      </c>
      <c r="F34" s="34"/>
      <c r="G34" s="34"/>
      <c r="H34" s="34"/>
      <c r="I34" s="34"/>
      <c r="J34" s="34"/>
      <c r="K34" s="34"/>
      <c r="L34" s="35">
        <f>0+0+0+0+1+0+0+1+1</f>
        <v>3</v>
      </c>
      <c r="M34" s="34">
        <f>0+0+0+0+19.273+0+0+90.318+25.714</f>
        <v>135.305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43">
        <f t="shared" si="0"/>
        <v>1999.9440000000002</v>
      </c>
      <c r="Z34" s="63"/>
      <c r="AA34" s="66"/>
      <c r="AB34" s="66"/>
      <c r="AC34" s="32" t="s">
        <v>46</v>
      </c>
      <c r="AD34" s="34">
        <f>0+0+0+(0.11+0.16)+0.44+0+0+0.2+(0.4+0.35)+0.525</f>
        <v>2.185</v>
      </c>
      <c r="AE34" s="34">
        <f>0+0+0+86.573+200.263+0+0+84.451+228.086+222.318</f>
        <v>821.691</v>
      </c>
      <c r="AF34" s="32"/>
      <c r="AG34" s="32"/>
      <c r="AH34" s="32">
        <f>0+0+0+1+1+1+1+2</f>
        <v>6</v>
      </c>
      <c r="AI34" s="32">
        <f>0+0+0+14.412+17.499+(28.853)+15.617+3.888+0</f>
        <v>80.269</v>
      </c>
      <c r="AJ34" s="34">
        <f>0+11.779+0+0+0+30.045+0+0+29.14</f>
        <v>70.964</v>
      </c>
      <c r="AK34" s="36">
        <f t="shared" si="1"/>
        <v>972.924</v>
      </c>
      <c r="AL34" s="34">
        <f>55.647+50.71+78.062+80.601+50.592+(54.893)+53.205+48.783+80.123+80.32+64.211+28.363</f>
        <v>725.51</v>
      </c>
      <c r="AM34" s="34">
        <f>0+0+0+2.551+7.603+2.86+0+9.852+1.716+0</f>
        <v>24.582</v>
      </c>
      <c r="AN34" s="34">
        <f>6.946+0+5.16+15.754+9.863+0+0+0+2.903</f>
        <v>40.626</v>
      </c>
      <c r="AO34" s="34">
        <f>1.487+0+3.89+21.179+22.063+0+15.025+17.471+33.196</f>
        <v>114.31099999999999</v>
      </c>
      <c r="AP34" s="36">
        <f t="shared" si="2"/>
        <v>905.029</v>
      </c>
      <c r="AQ34" s="36">
        <f t="shared" si="3"/>
        <v>1877.953</v>
      </c>
      <c r="AR34" s="63"/>
      <c r="AS34" s="35"/>
      <c r="AT34" s="34"/>
      <c r="AU34" s="35"/>
      <c r="AV34" s="34"/>
      <c r="AW34" s="37">
        <f t="shared" si="4"/>
        <v>0</v>
      </c>
      <c r="AX34" s="36">
        <f t="shared" si="5"/>
        <v>4.98</v>
      </c>
      <c r="AY34" s="38">
        <f t="shared" si="6"/>
        <v>3877.8970000000004</v>
      </c>
      <c r="BB34" s="10"/>
      <c r="BC34" s="10"/>
    </row>
    <row r="35" spans="1:55" s="40" customFormat="1" ht="22.5" customHeight="1">
      <c r="A35" s="61" t="s">
        <v>55</v>
      </c>
      <c r="B35" s="61"/>
      <c r="C35" s="18" t="s">
        <v>44</v>
      </c>
      <c r="D35" s="39">
        <f aca="true" t="shared" si="7" ref="D35:W35">D8+D11+D20+D29+D23+D14+D32+D17+D26</f>
        <v>37.84499999999999</v>
      </c>
      <c r="E35" s="17">
        <f t="shared" si="7"/>
        <v>27753</v>
      </c>
      <c r="F35" s="19">
        <f t="shared" si="7"/>
        <v>3.7350000000000003</v>
      </c>
      <c r="G35" s="17">
        <f t="shared" si="7"/>
        <v>3926</v>
      </c>
      <c r="H35" s="18">
        <f t="shared" si="7"/>
        <v>13</v>
      </c>
      <c r="I35" s="17">
        <f t="shared" si="7"/>
        <v>2782</v>
      </c>
      <c r="J35" s="17">
        <f t="shared" si="7"/>
        <v>20</v>
      </c>
      <c r="K35" s="17">
        <f t="shared" si="7"/>
        <v>3916</v>
      </c>
      <c r="L35" s="17">
        <f t="shared" si="7"/>
        <v>45</v>
      </c>
      <c r="M35" s="17">
        <f t="shared" si="7"/>
        <v>2555</v>
      </c>
      <c r="N35" s="17">
        <f t="shared" si="7"/>
        <v>2</v>
      </c>
      <c r="O35" s="17">
        <f t="shared" si="7"/>
        <v>1447</v>
      </c>
      <c r="P35" s="18">
        <f t="shared" si="7"/>
        <v>15</v>
      </c>
      <c r="Q35" s="17">
        <f t="shared" si="7"/>
        <v>884</v>
      </c>
      <c r="R35" s="18">
        <f t="shared" si="7"/>
        <v>4</v>
      </c>
      <c r="S35" s="17">
        <f t="shared" si="7"/>
        <v>1640</v>
      </c>
      <c r="T35" s="18">
        <f t="shared" si="7"/>
        <v>12</v>
      </c>
      <c r="U35" s="17">
        <f t="shared" si="7"/>
        <v>1970</v>
      </c>
      <c r="V35" s="17">
        <f t="shared" si="7"/>
        <v>5797</v>
      </c>
      <c r="W35" s="17">
        <f t="shared" si="7"/>
        <v>7530</v>
      </c>
      <c r="X35" s="16">
        <f>X8+X20+X23+X26+X29</f>
        <v>9021.2</v>
      </c>
      <c r="Y35" s="16">
        <f t="shared" si="0"/>
        <v>69221.2</v>
      </c>
      <c r="Z35" s="62">
        <f>Y37*100/Y36</f>
        <v>100.09275337613333</v>
      </c>
      <c r="AA35" s="61" t="s">
        <v>55</v>
      </c>
      <c r="AB35" s="61"/>
      <c r="AC35" s="18" t="s">
        <v>44</v>
      </c>
      <c r="AD35" s="39">
        <f aca="true" t="shared" si="8" ref="AD35:AJ37">AD8+AD11+AD20+AD29+AD23+AD14+AD32+AD17+AD26</f>
        <v>31.65</v>
      </c>
      <c r="AE35" s="18">
        <f t="shared" si="8"/>
        <v>12920</v>
      </c>
      <c r="AF35" s="16">
        <f t="shared" si="8"/>
        <v>1.8</v>
      </c>
      <c r="AG35" s="18">
        <f t="shared" si="8"/>
        <v>1440</v>
      </c>
      <c r="AH35" s="18">
        <f t="shared" si="8"/>
        <v>42</v>
      </c>
      <c r="AI35" s="17">
        <f t="shared" si="8"/>
        <v>1065</v>
      </c>
      <c r="AJ35" s="18">
        <f t="shared" si="8"/>
        <v>1687</v>
      </c>
      <c r="AK35" s="17">
        <f t="shared" si="1"/>
        <v>17112</v>
      </c>
      <c r="AL35" s="17">
        <f aca="true" t="shared" si="9" ref="AL35:AO37">AL8+AL11+AL20+AL29+AL23+AL14+AL32+AL17+AL26</f>
        <v>9463</v>
      </c>
      <c r="AM35" s="18">
        <f t="shared" si="9"/>
        <v>475</v>
      </c>
      <c r="AN35" s="18">
        <f t="shared" si="9"/>
        <v>1112</v>
      </c>
      <c r="AO35" s="18">
        <f t="shared" si="9"/>
        <v>411</v>
      </c>
      <c r="AP35" s="17">
        <f t="shared" si="2"/>
        <v>11461</v>
      </c>
      <c r="AQ35" s="16">
        <f t="shared" si="3"/>
        <v>28573</v>
      </c>
      <c r="AR35" s="63">
        <f>AQ37*100/AQ36</f>
        <v>110.51427746473946</v>
      </c>
      <c r="AS35" s="18">
        <f aca="true" t="shared" si="10" ref="AS35:AV37">AS8+AS11+AS20+AS29+AS23+AS14+AS32+AS17+AS26</f>
        <v>1</v>
      </c>
      <c r="AT35" s="18">
        <f t="shared" si="10"/>
        <v>1139</v>
      </c>
      <c r="AU35" s="18">
        <f t="shared" si="10"/>
        <v>15</v>
      </c>
      <c r="AV35" s="18">
        <f t="shared" si="10"/>
        <v>1336</v>
      </c>
      <c r="AW35" s="18">
        <f t="shared" si="4"/>
        <v>2475</v>
      </c>
      <c r="AX35" s="19">
        <f t="shared" si="5"/>
        <v>76.02999999999999</v>
      </c>
      <c r="AY35" s="59">
        <f t="shared" si="6"/>
        <v>100269.2</v>
      </c>
      <c r="BB35" s="45"/>
      <c r="BC35" s="45"/>
    </row>
    <row r="36" spans="1:55" s="40" customFormat="1" ht="31.5" customHeight="1">
      <c r="A36" s="61"/>
      <c r="B36" s="61"/>
      <c r="C36" s="29" t="s">
        <v>45</v>
      </c>
      <c r="D36" s="25">
        <f aca="true" t="shared" si="11" ref="D36:W36">D9+D12+D21+D30+D24+D15+D33+D18+D27</f>
        <v>37.84499999999999</v>
      </c>
      <c r="E36" s="26">
        <f t="shared" si="11"/>
        <v>27753</v>
      </c>
      <c r="F36" s="28">
        <f t="shared" si="11"/>
        <v>3.7350000000000003</v>
      </c>
      <c r="G36" s="26">
        <f t="shared" si="11"/>
        <v>3926</v>
      </c>
      <c r="H36" s="29">
        <f t="shared" si="11"/>
        <v>13</v>
      </c>
      <c r="I36" s="26">
        <f t="shared" si="11"/>
        <v>2782</v>
      </c>
      <c r="J36" s="26">
        <f t="shared" si="11"/>
        <v>20</v>
      </c>
      <c r="K36" s="26">
        <f t="shared" si="11"/>
        <v>3916</v>
      </c>
      <c r="L36" s="26">
        <f t="shared" si="11"/>
        <v>45</v>
      </c>
      <c r="M36" s="26">
        <f t="shared" si="11"/>
        <v>2555</v>
      </c>
      <c r="N36" s="26">
        <f t="shared" si="11"/>
        <v>2</v>
      </c>
      <c r="O36" s="26">
        <f t="shared" si="11"/>
        <v>1447</v>
      </c>
      <c r="P36" s="29">
        <f t="shared" si="11"/>
        <v>15</v>
      </c>
      <c r="Q36" s="26">
        <f t="shared" si="11"/>
        <v>884</v>
      </c>
      <c r="R36" s="29">
        <f t="shared" si="11"/>
        <v>4</v>
      </c>
      <c r="S36" s="26">
        <f t="shared" si="11"/>
        <v>1640</v>
      </c>
      <c r="T36" s="29">
        <f t="shared" si="11"/>
        <v>12</v>
      </c>
      <c r="U36" s="26">
        <f t="shared" si="11"/>
        <v>1970</v>
      </c>
      <c r="V36" s="26">
        <f t="shared" si="11"/>
        <v>5797</v>
      </c>
      <c r="W36" s="26">
        <f t="shared" si="11"/>
        <v>7530</v>
      </c>
      <c r="X36" s="30">
        <f>X9+X27+X21+X24</f>
        <v>9021.2</v>
      </c>
      <c r="Y36" s="28">
        <f t="shared" si="0"/>
        <v>69221.2</v>
      </c>
      <c r="Z36" s="62"/>
      <c r="AA36" s="61"/>
      <c r="AB36" s="61"/>
      <c r="AC36" s="29" t="s">
        <v>45</v>
      </c>
      <c r="AD36" s="28">
        <f t="shared" si="8"/>
        <v>31.65</v>
      </c>
      <c r="AE36" s="30">
        <f t="shared" si="8"/>
        <v>12920</v>
      </c>
      <c r="AF36" s="29">
        <f t="shared" si="8"/>
        <v>1.8</v>
      </c>
      <c r="AG36" s="26">
        <f t="shared" si="8"/>
        <v>1440</v>
      </c>
      <c r="AH36" s="29">
        <f t="shared" si="8"/>
        <v>42</v>
      </c>
      <c r="AI36" s="26">
        <f t="shared" si="8"/>
        <v>1065</v>
      </c>
      <c r="AJ36" s="26">
        <f t="shared" si="8"/>
        <v>1687</v>
      </c>
      <c r="AK36" s="26">
        <f t="shared" si="1"/>
        <v>17112</v>
      </c>
      <c r="AL36" s="29">
        <f t="shared" si="9"/>
        <v>9463</v>
      </c>
      <c r="AM36" s="29">
        <f t="shared" si="9"/>
        <v>475</v>
      </c>
      <c r="AN36" s="29">
        <f t="shared" si="9"/>
        <v>1112</v>
      </c>
      <c r="AO36" s="29">
        <f t="shared" si="9"/>
        <v>411</v>
      </c>
      <c r="AP36" s="29">
        <f t="shared" si="2"/>
        <v>11461</v>
      </c>
      <c r="AQ36" s="30">
        <f t="shared" si="3"/>
        <v>28573</v>
      </c>
      <c r="AR36" s="63"/>
      <c r="AS36" s="29">
        <f t="shared" si="10"/>
        <v>0</v>
      </c>
      <c r="AT36" s="26">
        <f t="shared" si="10"/>
        <v>0</v>
      </c>
      <c r="AU36" s="29">
        <f t="shared" si="10"/>
        <v>6</v>
      </c>
      <c r="AV36" s="26">
        <f t="shared" si="10"/>
        <v>1336</v>
      </c>
      <c r="AW36" s="26">
        <f t="shared" si="4"/>
        <v>1336</v>
      </c>
      <c r="AX36" s="25">
        <f t="shared" si="5"/>
        <v>75.02999999999999</v>
      </c>
      <c r="AY36" s="31">
        <f t="shared" si="6"/>
        <v>99130.2</v>
      </c>
      <c r="AZ36" s="45">
        <f>AY37*100/AY36</f>
        <v>104.32381504324616</v>
      </c>
      <c r="BB36" s="45">
        <f>Y37*100/Y36</f>
        <v>100.09275337613333</v>
      </c>
      <c r="BC36" s="45">
        <f>AQ37*100/AQ36</f>
        <v>110.51427746473946</v>
      </c>
    </row>
    <row r="37" spans="1:51" s="40" customFormat="1" ht="22.5" customHeight="1">
      <c r="A37" s="61"/>
      <c r="B37" s="61"/>
      <c r="C37" s="37" t="s">
        <v>46</v>
      </c>
      <c r="D37" s="36">
        <f aca="true" t="shared" si="12" ref="D37:W37">D10+D13+D22+D31+D25+D16+D34+D19+D28</f>
        <v>40.649</v>
      </c>
      <c r="E37" s="36">
        <f t="shared" si="12"/>
        <v>27766.500999999997</v>
      </c>
      <c r="F37" s="36">
        <f t="shared" si="12"/>
        <v>3.9859999999999998</v>
      </c>
      <c r="G37" s="36">
        <f t="shared" si="12"/>
        <v>3929.901</v>
      </c>
      <c r="H37" s="37">
        <f t="shared" si="12"/>
        <v>18</v>
      </c>
      <c r="I37" s="36">
        <f t="shared" si="12"/>
        <v>2782.258</v>
      </c>
      <c r="J37" s="46">
        <f t="shared" si="12"/>
        <v>20</v>
      </c>
      <c r="K37" s="36">
        <f t="shared" si="12"/>
        <v>3931.6050000000005</v>
      </c>
      <c r="L37" s="46">
        <f t="shared" si="12"/>
        <v>52</v>
      </c>
      <c r="M37" s="36">
        <f t="shared" si="12"/>
        <v>2583.100999999999</v>
      </c>
      <c r="N37" s="46">
        <f t="shared" si="12"/>
        <v>2</v>
      </c>
      <c r="O37" s="36">
        <f t="shared" si="12"/>
        <v>1444.7939999999999</v>
      </c>
      <c r="P37" s="46">
        <f t="shared" si="12"/>
        <v>16</v>
      </c>
      <c r="Q37" s="36">
        <f t="shared" si="12"/>
        <v>884.701</v>
      </c>
      <c r="R37" s="37">
        <f t="shared" si="12"/>
        <v>7</v>
      </c>
      <c r="S37" s="36">
        <f t="shared" si="12"/>
        <v>1658.109</v>
      </c>
      <c r="T37" s="37">
        <f t="shared" si="12"/>
        <v>11</v>
      </c>
      <c r="U37" s="36">
        <f t="shared" si="12"/>
        <v>1979.8219999999997</v>
      </c>
      <c r="V37" s="36">
        <f t="shared" si="12"/>
        <v>5797.742</v>
      </c>
      <c r="W37" s="36">
        <f t="shared" si="12"/>
        <v>7532.67</v>
      </c>
      <c r="X37" s="36">
        <f>X10+X28+X22+X25</f>
        <v>8994.201</v>
      </c>
      <c r="Y37" s="36">
        <f t="shared" si="0"/>
        <v>69285.405</v>
      </c>
      <c r="Z37" s="62"/>
      <c r="AA37" s="61"/>
      <c r="AB37" s="61"/>
      <c r="AC37" s="37" t="s">
        <v>46</v>
      </c>
      <c r="AD37" s="36">
        <f t="shared" si="8"/>
        <v>36.547</v>
      </c>
      <c r="AE37" s="36">
        <f t="shared" si="8"/>
        <v>13407.184500000001</v>
      </c>
      <c r="AF37" s="37">
        <f t="shared" si="8"/>
        <v>2.073</v>
      </c>
      <c r="AG37" s="36">
        <f t="shared" si="8"/>
        <v>1884.984</v>
      </c>
      <c r="AH37" s="37">
        <f t="shared" si="8"/>
        <v>48</v>
      </c>
      <c r="AI37" s="36">
        <f t="shared" si="8"/>
        <v>1209.4980000000003</v>
      </c>
      <c r="AJ37" s="36">
        <f t="shared" si="8"/>
        <v>2217.664</v>
      </c>
      <c r="AK37" s="36">
        <f t="shared" si="1"/>
        <v>18719.330500000004</v>
      </c>
      <c r="AL37" s="36">
        <f t="shared" si="9"/>
        <v>10355.966</v>
      </c>
      <c r="AM37" s="36">
        <f t="shared" si="9"/>
        <v>929.4999999999999</v>
      </c>
      <c r="AN37" s="36">
        <f t="shared" si="9"/>
        <v>1118.188</v>
      </c>
      <c r="AO37" s="36">
        <f t="shared" si="9"/>
        <v>454.26</v>
      </c>
      <c r="AP37" s="36">
        <f t="shared" si="2"/>
        <v>12857.914</v>
      </c>
      <c r="AQ37" s="36">
        <f t="shared" si="3"/>
        <v>31577.244500000004</v>
      </c>
      <c r="AR37" s="63"/>
      <c r="AS37" s="46">
        <f t="shared" si="10"/>
        <v>0</v>
      </c>
      <c r="AT37" s="36">
        <f t="shared" si="10"/>
        <v>0</v>
      </c>
      <c r="AU37" s="46">
        <f t="shared" si="10"/>
        <v>9</v>
      </c>
      <c r="AV37" s="43">
        <f t="shared" si="10"/>
        <v>2553.757</v>
      </c>
      <c r="AW37" s="36">
        <f t="shared" si="4"/>
        <v>2553.757</v>
      </c>
      <c r="AX37" s="36">
        <f t="shared" si="5"/>
        <v>83.25499999999998</v>
      </c>
      <c r="AY37" s="38">
        <f t="shared" si="6"/>
        <v>103416.40650000001</v>
      </c>
    </row>
    <row r="38" spans="1:51" s="6" customFormat="1" ht="12.75" customHeight="1">
      <c r="A38" s="40"/>
      <c r="B38" s="40"/>
      <c r="C38" s="47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7"/>
      <c r="U38" s="47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7"/>
      <c r="AI38" s="45"/>
      <c r="AJ38" s="45"/>
      <c r="AK38" s="45"/>
      <c r="AL38" s="45"/>
      <c r="AM38" s="47"/>
      <c r="AN38" s="45"/>
      <c r="AO38" s="45"/>
      <c r="AP38" s="45"/>
      <c r="AQ38" s="45"/>
      <c r="AR38" s="45"/>
      <c r="AS38" s="45"/>
      <c r="AT38" s="47"/>
      <c r="AU38" s="45"/>
      <c r="AV38" s="48"/>
      <c r="AW38" s="48"/>
      <c r="AX38" s="40"/>
      <c r="AY38" s="10"/>
    </row>
    <row r="39" spans="1:51" s="6" customFormat="1" ht="16.5" customHeight="1" hidden="1">
      <c r="A39" s="64" t="s">
        <v>71</v>
      </c>
      <c r="B39" s="64"/>
      <c r="C39" s="64"/>
      <c r="D39" s="45"/>
      <c r="E39" s="45">
        <v>23279.467</v>
      </c>
      <c r="F39" s="45"/>
      <c r="G39" s="45">
        <v>4950.471</v>
      </c>
      <c r="H39" s="45"/>
      <c r="I39" s="45">
        <v>2564.363</v>
      </c>
      <c r="J39" s="45"/>
      <c r="K39" s="45"/>
      <c r="L39" s="45"/>
      <c r="M39" s="45"/>
      <c r="N39" s="45"/>
      <c r="O39" s="45"/>
      <c r="P39" s="45"/>
      <c r="Q39" s="45">
        <v>1199.762</v>
      </c>
      <c r="R39" s="45"/>
      <c r="S39" s="45">
        <v>1888.338</v>
      </c>
      <c r="T39" s="47"/>
      <c r="U39" s="47">
        <v>2499.856</v>
      </c>
      <c r="V39" s="45">
        <v>656.162</v>
      </c>
      <c r="W39" s="45">
        <v>9165.159</v>
      </c>
      <c r="X39" s="45">
        <v>3318.064</v>
      </c>
      <c r="Y39" s="45"/>
      <c r="Z39" s="45"/>
      <c r="AA39" s="45"/>
      <c r="AB39" s="45"/>
      <c r="AC39" s="45"/>
      <c r="AD39" s="45"/>
      <c r="AE39" s="45"/>
      <c r="AF39" s="45"/>
      <c r="AG39" s="45"/>
      <c r="AH39" s="47"/>
      <c r="AI39" s="45"/>
      <c r="AJ39" s="55">
        <v>1983</v>
      </c>
      <c r="AK39" s="55"/>
      <c r="AL39" s="45"/>
      <c r="AM39" s="47"/>
      <c r="AN39" s="45"/>
      <c r="AO39" s="45"/>
      <c r="AP39" s="45"/>
      <c r="AQ39" s="45"/>
      <c r="AR39" s="45"/>
      <c r="AS39" s="45"/>
      <c r="AT39" s="47"/>
      <c r="AU39" s="45"/>
      <c r="AV39" s="48"/>
      <c r="AW39" s="48"/>
      <c r="AX39" s="40"/>
      <c r="AY39" s="10"/>
    </row>
    <row r="40" spans="1:51" s="6" customFormat="1" ht="18.75" customHeight="1" hidden="1">
      <c r="A40" s="64" t="s">
        <v>56</v>
      </c>
      <c r="B40" s="64"/>
      <c r="C40" s="64"/>
      <c r="D40" s="45"/>
      <c r="E40" s="45">
        <f>E37-E39</f>
        <v>4487.033999999996</v>
      </c>
      <c r="F40" s="45"/>
      <c r="G40" s="45">
        <f>G37-G39</f>
        <v>-1020.5699999999997</v>
      </c>
      <c r="H40" s="45"/>
      <c r="I40" s="45">
        <f>I37-I39</f>
        <v>217.89499999999998</v>
      </c>
      <c r="J40" s="45"/>
      <c r="K40" s="45"/>
      <c r="L40" s="45"/>
      <c r="M40" s="45"/>
      <c r="N40" s="45"/>
      <c r="O40" s="45"/>
      <c r="P40" s="45"/>
      <c r="Q40" s="45">
        <f>Q37-Q39</f>
        <v>-315.0609999999999</v>
      </c>
      <c r="R40" s="45"/>
      <c r="S40" s="45">
        <f>S37-S39</f>
        <v>-230.22900000000004</v>
      </c>
      <c r="T40" s="47"/>
      <c r="U40" s="45">
        <f>U37-U39</f>
        <v>-520.0340000000006</v>
      </c>
      <c r="V40" s="45">
        <f>V37-V39</f>
        <v>5141.58</v>
      </c>
      <c r="W40" s="45">
        <f>W37-W39</f>
        <v>-1632.4889999999996</v>
      </c>
      <c r="X40" s="45">
        <f>X37-X39</f>
        <v>5676.136999999999</v>
      </c>
      <c r="Y40" s="45"/>
      <c r="Z40" s="45"/>
      <c r="AA40" s="45"/>
      <c r="AB40" s="45"/>
      <c r="AC40" s="45"/>
      <c r="AD40" s="45"/>
      <c r="AE40" s="45"/>
      <c r="AF40" s="45"/>
      <c r="AG40" s="45"/>
      <c r="AH40" s="47"/>
      <c r="AI40" s="45"/>
      <c r="AJ40" s="45"/>
      <c r="AK40" s="45"/>
      <c r="AL40" s="45"/>
      <c r="AM40" s="47"/>
      <c r="AN40" s="45"/>
      <c r="AO40" s="45"/>
      <c r="AP40" s="45"/>
      <c r="AQ40" s="45"/>
      <c r="AR40" s="45"/>
      <c r="AS40" s="45"/>
      <c r="AT40" s="47"/>
      <c r="AU40" s="45"/>
      <c r="AV40" s="48"/>
      <c r="AW40" s="48"/>
      <c r="AX40" s="40"/>
      <c r="AY40" s="10"/>
    </row>
    <row r="41" spans="1:51" s="6" customFormat="1" ht="33" customHeight="1" hidden="1">
      <c r="A41" s="64" t="s">
        <v>57</v>
      </c>
      <c r="B41" s="64"/>
      <c r="C41" s="64"/>
      <c r="D41" s="45"/>
      <c r="E41" s="45">
        <f>E35-E37</f>
        <v>-13.500999999996566</v>
      </c>
      <c r="F41" s="45"/>
      <c r="G41" s="45">
        <f>G35-G37</f>
        <v>-3.90099999999984</v>
      </c>
      <c r="H41" s="45"/>
      <c r="I41" s="45">
        <f>I35-I37</f>
        <v>-0.2579999999998108</v>
      </c>
      <c r="J41" s="45"/>
      <c r="K41" s="45"/>
      <c r="L41" s="45"/>
      <c r="M41" s="45"/>
      <c r="N41" s="45"/>
      <c r="O41" s="45"/>
      <c r="P41" s="45"/>
      <c r="Q41" s="45">
        <f>Q35-Q37</f>
        <v>-0.7010000000000218</v>
      </c>
      <c r="R41" s="45"/>
      <c r="S41" s="45">
        <f>S35-S37</f>
        <v>-18.108999999999924</v>
      </c>
      <c r="T41" s="47"/>
      <c r="U41" s="45">
        <f>U35-U37</f>
        <v>-9.821999999999662</v>
      </c>
      <c r="V41" s="45">
        <f>V35-V37</f>
        <v>-0.7420000000001892</v>
      </c>
      <c r="W41" s="45">
        <f>W35-W37</f>
        <v>-2.6700000000000728</v>
      </c>
      <c r="X41" s="45">
        <f>X35-X37</f>
        <v>26.999000000001615</v>
      </c>
      <c r="Y41" s="45"/>
      <c r="Z41" s="45"/>
      <c r="AA41" s="45"/>
      <c r="AB41" s="45"/>
      <c r="AC41" s="45"/>
      <c r="AD41" s="45"/>
      <c r="AE41" s="45">
        <f>AE35-AE37</f>
        <v>-487.1845000000012</v>
      </c>
      <c r="AF41" s="45"/>
      <c r="AG41" s="45">
        <f>AG35-AG37</f>
        <v>-444.9839999999999</v>
      </c>
      <c r="AH41" s="47"/>
      <c r="AI41" s="45">
        <f>AI35-AI37</f>
        <v>-144.49800000000027</v>
      </c>
      <c r="AJ41" s="45">
        <f>AJ35-AJ37</f>
        <v>-530.6640000000002</v>
      </c>
      <c r="AK41" s="45"/>
      <c r="AL41" s="45"/>
      <c r="AM41" s="45"/>
      <c r="AN41" s="45"/>
      <c r="AO41" s="45"/>
      <c r="AP41" s="45"/>
      <c r="AQ41" s="45"/>
      <c r="AR41" s="45"/>
      <c r="AS41" s="45"/>
      <c r="AT41" s="45">
        <f>AT35-AT37</f>
        <v>1139</v>
      </c>
      <c r="AU41" s="45"/>
      <c r="AV41" s="45">
        <f>AV35-AV37</f>
        <v>-1217.757</v>
      </c>
      <c r="AW41" s="45"/>
      <c r="AX41" s="40"/>
      <c r="AY41" s="45">
        <f>AY35-AY37</f>
        <v>-3147.206500000015</v>
      </c>
    </row>
    <row r="42" spans="1:51" s="6" customFormat="1" ht="19.5" customHeight="1" hidden="1">
      <c r="A42" s="40"/>
      <c r="B42" s="40"/>
      <c r="C42" s="47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7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7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0"/>
      <c r="AY42" s="45"/>
    </row>
    <row r="43" spans="1:51" s="6" customFormat="1" ht="41.25" customHeight="1" hidden="1">
      <c r="A43" s="40"/>
      <c r="B43" s="40"/>
      <c r="C43" s="47"/>
      <c r="D43" s="45"/>
      <c r="E43" s="45"/>
      <c r="F43" s="45"/>
      <c r="G43" s="49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7"/>
      <c r="U43" s="65" t="s">
        <v>58</v>
      </c>
      <c r="V43" s="65"/>
      <c r="W43" s="65" t="s">
        <v>59</v>
      </c>
      <c r="X43" s="65"/>
      <c r="Y43" s="47"/>
      <c r="Z43" s="47"/>
      <c r="AA43" s="47"/>
      <c r="AB43" s="47"/>
      <c r="AC43" s="47"/>
      <c r="AD43" s="45"/>
      <c r="AE43" s="45"/>
      <c r="AF43" s="45"/>
      <c r="AG43" s="45"/>
      <c r="AH43" s="47"/>
      <c r="AI43" s="45"/>
      <c r="AJ43" s="45" t="s">
        <v>60</v>
      </c>
      <c r="AK43" s="45"/>
      <c r="AL43" s="45"/>
      <c r="AM43" s="47"/>
      <c r="AN43" s="45"/>
      <c r="AO43" s="45"/>
      <c r="AP43" s="45"/>
      <c r="AQ43" s="45"/>
      <c r="AR43" s="45"/>
      <c r="AS43" s="45"/>
      <c r="AT43" s="47"/>
      <c r="AU43" s="45"/>
      <c r="AV43" s="45" t="s">
        <v>61</v>
      </c>
      <c r="AW43" s="45"/>
      <c r="AX43" s="40"/>
      <c r="AY43" s="45" t="s">
        <v>62</v>
      </c>
    </row>
    <row r="44" spans="1:51" s="6" customFormat="1" ht="19.5" customHeight="1" hidden="1">
      <c r="A44" s="40"/>
      <c r="B44" s="40"/>
      <c r="C44" s="47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7"/>
      <c r="U44" s="47"/>
      <c r="V44" s="45">
        <f>I35+Q35+S35+U35+V35+W35+G35+E35</f>
        <v>52282</v>
      </c>
      <c r="W44" s="45"/>
      <c r="X44" s="45">
        <f>E35+G35+I35+Q35+S35+U35+V35+W35+X35</f>
        <v>61303.2</v>
      </c>
      <c r="Y44" s="45"/>
      <c r="Z44" s="45"/>
      <c r="AA44" s="45"/>
      <c r="AB44" s="45"/>
      <c r="AC44" s="45"/>
      <c r="AD44" s="45"/>
      <c r="AE44" s="45"/>
      <c r="AF44" s="45"/>
      <c r="AG44" s="45"/>
      <c r="AH44" s="47"/>
      <c r="AI44" s="45"/>
      <c r="AJ44" s="45">
        <f>AE35+AG35+AI35+AJ35</f>
        <v>17112</v>
      </c>
      <c r="AK44" s="45"/>
      <c r="AL44" s="45"/>
      <c r="AM44" s="47"/>
      <c r="AN44" s="45"/>
      <c r="AO44" s="45"/>
      <c r="AP44" s="45"/>
      <c r="AQ44" s="45"/>
      <c r="AR44" s="45"/>
      <c r="AS44" s="45"/>
      <c r="AT44" s="47"/>
      <c r="AU44" s="45"/>
      <c r="AV44" s="45">
        <f>AT35+AV35</f>
        <v>2475</v>
      </c>
      <c r="AW44" s="45"/>
      <c r="AX44" s="40"/>
      <c r="AY44" s="45">
        <f>AJ44+AO44+AV44</f>
        <v>19587</v>
      </c>
    </row>
    <row r="45" spans="3:51" s="40" customFormat="1" ht="19.5" customHeight="1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>
        <f>I36+Q36+S36+U36+V36+W36+G36+E36</f>
        <v>52282</v>
      </c>
      <c r="W45" s="45"/>
      <c r="X45" s="45">
        <f>E36+G36+I36+Q36+S36+U36+V36+W36+X36</f>
        <v>61303.2</v>
      </c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>
        <f>AE36+AG36+AI36+AJ36</f>
        <v>17112</v>
      </c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>
        <f>AT36+AV36</f>
        <v>1336</v>
      </c>
      <c r="AW45" s="45"/>
      <c r="AY45" s="45">
        <f>AJ45+AO45+AV45</f>
        <v>18448</v>
      </c>
    </row>
    <row r="46" spans="1:51" s="40" customFormat="1" ht="19.5" customHeight="1" hidden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47">
        <f>I37+Q37+S37+U37+V37+W37+G37+E37</f>
        <v>52331.704</v>
      </c>
      <c r="W46" s="7"/>
      <c r="X46" s="47">
        <f>E37+G37+I37+Q37+S37+U37+V37+W37+X37</f>
        <v>61325.90499999999</v>
      </c>
      <c r="Y46" s="47"/>
      <c r="Z46" s="47"/>
      <c r="AA46" s="47"/>
      <c r="AB46" s="47"/>
      <c r="AC46" s="47"/>
      <c r="AD46" s="7"/>
      <c r="AE46" s="7"/>
      <c r="AF46" s="7"/>
      <c r="AG46" s="7"/>
      <c r="AH46" s="7"/>
      <c r="AI46" s="7"/>
      <c r="AJ46" s="47">
        <f>AE37+AG37+AI37+AJ37</f>
        <v>18719.330500000004</v>
      </c>
      <c r="AK46" s="47"/>
      <c r="AL46" s="7"/>
      <c r="AM46" s="7"/>
      <c r="AN46" s="7"/>
      <c r="AO46" s="47"/>
      <c r="AP46" s="47"/>
      <c r="AQ46" s="47"/>
      <c r="AR46" s="47"/>
      <c r="AS46" s="7"/>
      <c r="AT46" s="7"/>
      <c r="AU46" s="7"/>
      <c r="AV46" s="47">
        <f>AT37+AV37</f>
        <v>2553.757</v>
      </c>
      <c r="AW46" s="47"/>
      <c r="AY46" s="47">
        <f>AJ46+AO46+AV46</f>
        <v>21273.087500000005</v>
      </c>
    </row>
    <row r="47" spans="1:51" s="40" customFormat="1" ht="19.5" customHeight="1" hidden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45">
        <f>V45-V46</f>
        <v>-49.703999999997905</v>
      </c>
      <c r="W47" s="7"/>
      <c r="X47" s="45">
        <f>X45-X46</f>
        <v>-22.70499999999447</v>
      </c>
      <c r="Y47" s="45"/>
      <c r="Z47" s="45"/>
      <c r="AA47" s="45"/>
      <c r="AB47" s="45"/>
      <c r="AC47" s="45"/>
      <c r="AD47" s="7"/>
      <c r="AE47" s="7"/>
      <c r="AF47" s="7"/>
      <c r="AG47" s="7"/>
      <c r="AH47" s="7"/>
      <c r="AI47" s="7"/>
      <c r="AJ47" s="50">
        <f>AJ45-AJ46</f>
        <v>-1607.3305000000037</v>
      </c>
      <c r="AK47" s="50"/>
      <c r="AL47" s="7"/>
      <c r="AM47" s="7"/>
      <c r="AN47" s="7"/>
      <c r="AO47" s="45"/>
      <c r="AP47" s="45"/>
      <c r="AQ47" s="45"/>
      <c r="AR47" s="45"/>
      <c r="AS47" s="7"/>
      <c r="AT47" s="7"/>
      <c r="AU47" s="7"/>
      <c r="AV47" s="45">
        <f>AV45-AV46</f>
        <v>-1217.757</v>
      </c>
      <c r="AW47" s="45"/>
      <c r="AY47" s="45">
        <f>AJ47+AO47+AV47</f>
        <v>-2825.0875000000037</v>
      </c>
    </row>
    <row r="48" spans="1:51" s="40" customFormat="1" ht="19.5" customHeight="1" hidden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45"/>
      <c r="W48" s="7"/>
      <c r="X48" s="45"/>
      <c r="Y48" s="45"/>
      <c r="Z48" s="45"/>
      <c r="AA48" s="45"/>
      <c r="AB48" s="45"/>
      <c r="AC48" s="45"/>
      <c r="AD48" s="7"/>
      <c r="AE48" s="7"/>
      <c r="AF48" s="7"/>
      <c r="AG48" s="7"/>
      <c r="AH48" s="7"/>
      <c r="AI48" s="7"/>
      <c r="AJ48" s="50"/>
      <c r="AK48" s="50"/>
      <c r="AL48" s="7"/>
      <c r="AM48" s="7"/>
      <c r="AN48" s="7"/>
      <c r="AO48" s="45"/>
      <c r="AP48" s="45"/>
      <c r="AQ48" s="45"/>
      <c r="AR48" s="45"/>
      <c r="AS48" s="7"/>
      <c r="AT48" s="7"/>
      <c r="AU48" s="7"/>
      <c r="AV48" s="45"/>
      <c r="AW48" s="45"/>
      <c r="AY48" s="45"/>
    </row>
    <row r="49" spans="1:51" s="6" customFormat="1" ht="41.25" customHeight="1">
      <c r="A49" s="60" t="s">
        <v>73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 t="s">
        <v>63</v>
      </c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</row>
    <row r="50" spans="3:31" ht="13.5" customHeight="1">
      <c r="C50" s="52"/>
      <c r="Y50" s="2"/>
      <c r="AE50" s="2"/>
    </row>
    <row r="51" spans="9:51" ht="13.5" customHeight="1">
      <c r="I51" s="4"/>
      <c r="K51" s="2"/>
      <c r="S51" s="4"/>
      <c r="V51" s="4"/>
      <c r="Y51" s="5">
        <f>Y35-69221.2</f>
        <v>0</v>
      </c>
      <c r="AJ51" s="2"/>
      <c r="AK51" s="2"/>
      <c r="AL51" s="2"/>
      <c r="AM51" s="2"/>
      <c r="AN51" s="2"/>
      <c r="AO51" s="2"/>
      <c r="AP51" s="2"/>
      <c r="AQ51" s="2"/>
      <c r="AR51" s="2"/>
      <c r="AY51" s="2"/>
    </row>
    <row r="52" spans="4:36" ht="13.5" customHeight="1">
      <c r="D52" s="2">
        <f aca="true" t="shared" si="13" ref="D52:Y52">D37-D10</f>
        <v>29.464</v>
      </c>
      <c r="E52" s="2">
        <f t="shared" si="13"/>
        <v>20385.778999999995</v>
      </c>
      <c r="F52" s="2">
        <f t="shared" si="13"/>
        <v>1.774</v>
      </c>
      <c r="G52" s="2">
        <f t="shared" si="13"/>
        <v>1649.5669999999996</v>
      </c>
      <c r="H52" s="4">
        <f t="shared" si="13"/>
        <v>2</v>
      </c>
      <c r="I52" s="2">
        <f t="shared" si="13"/>
        <v>298.15099999999984</v>
      </c>
      <c r="J52" s="4">
        <f t="shared" si="13"/>
        <v>7</v>
      </c>
      <c r="K52" s="2">
        <f t="shared" si="13"/>
        <v>1324.4190000000003</v>
      </c>
      <c r="L52" s="4">
        <f t="shared" si="13"/>
        <v>23</v>
      </c>
      <c r="M52" s="2">
        <f t="shared" si="13"/>
        <v>870.0939999999994</v>
      </c>
      <c r="N52" s="4">
        <f t="shared" si="13"/>
        <v>1</v>
      </c>
      <c r="O52" s="2">
        <f t="shared" si="13"/>
        <v>609.2899999999998</v>
      </c>
      <c r="P52" s="4">
        <f t="shared" si="13"/>
        <v>0</v>
      </c>
      <c r="Q52" s="2">
        <f t="shared" si="13"/>
        <v>0</v>
      </c>
      <c r="R52" s="4">
        <f t="shared" si="13"/>
        <v>4</v>
      </c>
      <c r="S52" s="2">
        <f t="shared" si="13"/>
        <v>1458.211</v>
      </c>
      <c r="T52" s="4">
        <f t="shared" si="13"/>
        <v>6</v>
      </c>
      <c r="U52" s="2">
        <f t="shared" si="13"/>
        <v>1050.051</v>
      </c>
      <c r="V52" s="2">
        <f t="shared" si="13"/>
        <v>0</v>
      </c>
      <c r="W52" s="2">
        <f t="shared" si="13"/>
        <v>0</v>
      </c>
      <c r="X52" s="2">
        <f t="shared" si="13"/>
        <v>2646.360999999999</v>
      </c>
      <c r="Y52" s="2">
        <f t="shared" si="13"/>
        <v>30291.922999999995</v>
      </c>
      <c r="AF52" s="53"/>
      <c r="AJ52" s="2"/>
    </row>
    <row r="53" spans="5:49" ht="13.5" customHeight="1">
      <c r="E53" s="2"/>
      <c r="G53" s="2"/>
      <c r="I53" s="4"/>
      <c r="X53" s="2"/>
      <c r="Y53" s="2"/>
      <c r="AB53" s="2"/>
      <c r="AC53" s="2"/>
      <c r="AK53" s="3"/>
      <c r="AP53" s="3"/>
      <c r="AQ53" s="3"/>
      <c r="AR53" s="3"/>
      <c r="AW53" s="5"/>
    </row>
    <row r="54" spans="11:35" ht="13.5" customHeight="1">
      <c r="K54" s="2"/>
      <c r="X54" s="2"/>
      <c r="Y54" s="2">
        <f>Y52+W10</f>
        <v>37824.59299999999</v>
      </c>
      <c r="AI54" s="1" t="s">
        <v>72</v>
      </c>
    </row>
    <row r="55" ht="13.5" customHeight="1">
      <c r="G55" s="2"/>
    </row>
    <row r="56" spans="3:37" ht="13.5" customHeight="1">
      <c r="C56" s="2">
        <f>E10+G10+I10+K10+M10+Q10+S10+U10+V10+X10</f>
        <v>30625.308</v>
      </c>
      <c r="E56" s="2"/>
      <c r="AK56" s="2"/>
    </row>
    <row r="57" spans="15:37" ht="13.5" customHeight="1">
      <c r="O57" s="4">
        <f>Q9-Q10</f>
        <v>-0.7010000000000218</v>
      </c>
      <c r="AK57" s="3"/>
    </row>
    <row r="58" spans="4:29" ht="13.5" customHeight="1">
      <c r="D58" s="2" t="e">
        <f>D37-#REF!</f>
        <v>#REF!</v>
      </c>
      <c r="F58" s="53" t="e">
        <f>F37-#REF!</f>
        <v>#REF!</v>
      </c>
      <c r="AC58" s="2"/>
    </row>
    <row r="59" ht="13.5" customHeight="1">
      <c r="AC59" s="54"/>
    </row>
    <row r="60" ht="13.5" customHeight="1">
      <c r="C60" s="3"/>
    </row>
    <row r="61" ht="13.5" customHeight="1">
      <c r="C61" s="2">
        <f>E37+G37</f>
        <v>31696.401999999995</v>
      </c>
    </row>
    <row r="62" ht="13.5" customHeight="1">
      <c r="C62" s="2">
        <f>Y37+8182</f>
        <v>77467.405</v>
      </c>
    </row>
  </sheetData>
  <sheetProtection/>
  <mergeCells count="110">
    <mergeCell ref="A1:Z1"/>
    <mergeCell ref="AD1:AY1"/>
    <mergeCell ref="A2:Z2"/>
    <mergeCell ref="AA2:AY2"/>
    <mergeCell ref="A3:A7"/>
    <mergeCell ref="B3:B7"/>
    <mergeCell ref="C3:C7"/>
    <mergeCell ref="D3:Y3"/>
    <mergeCell ref="D4:G4"/>
    <mergeCell ref="D5:E6"/>
    <mergeCell ref="F5:G6"/>
    <mergeCell ref="H4:W4"/>
    <mergeCell ref="X4:X6"/>
    <mergeCell ref="Y4:Y6"/>
    <mergeCell ref="AX3:AY6"/>
    <mergeCell ref="AQ4:AQ6"/>
    <mergeCell ref="AR4:AR6"/>
    <mergeCell ref="AS4:AW4"/>
    <mergeCell ref="AS5:AT6"/>
    <mergeCell ref="AU5:AV6"/>
    <mergeCell ref="AW5:AW6"/>
    <mergeCell ref="AD3:AW3"/>
    <mergeCell ref="AP5:AP6"/>
    <mergeCell ref="AL4:AP4"/>
    <mergeCell ref="AD4:AK4"/>
    <mergeCell ref="AF5:AG6"/>
    <mergeCell ref="H5:I6"/>
    <mergeCell ref="J5:K6"/>
    <mergeCell ref="AB3:AB7"/>
    <mergeCell ref="AA3:AA7"/>
    <mergeCell ref="AK5:AK6"/>
    <mergeCell ref="Z3:Z6"/>
    <mergeCell ref="AB8:AB10"/>
    <mergeCell ref="AR8:AR10"/>
    <mergeCell ref="L5:M6"/>
    <mergeCell ref="AH5:AJ5"/>
    <mergeCell ref="AL5:AL6"/>
    <mergeCell ref="AM5:AO5"/>
    <mergeCell ref="AH6:AI6"/>
    <mergeCell ref="A8:A10"/>
    <mergeCell ref="B8:B10"/>
    <mergeCell ref="Z8:Z10"/>
    <mergeCell ref="AA8:AA10"/>
    <mergeCell ref="AA11:AA13"/>
    <mergeCell ref="AB11:AB13"/>
    <mergeCell ref="AD5:AE6"/>
    <mergeCell ref="N5:O6"/>
    <mergeCell ref="P5:Q6"/>
    <mergeCell ref="AC3:AC7"/>
    <mergeCell ref="R5:S6"/>
    <mergeCell ref="T5:U6"/>
    <mergeCell ref="V5:V6"/>
    <mergeCell ref="W5:W6"/>
    <mergeCell ref="AR11:AR13"/>
    <mergeCell ref="A14:A16"/>
    <mergeCell ref="B14:B16"/>
    <mergeCell ref="Z14:Z16"/>
    <mergeCell ref="AA14:AA16"/>
    <mergeCell ref="AB14:AB16"/>
    <mergeCell ref="AR14:AR16"/>
    <mergeCell ref="A11:A13"/>
    <mergeCell ref="B11:B13"/>
    <mergeCell ref="Z11:Z13"/>
    <mergeCell ref="AA20:AA22"/>
    <mergeCell ref="AB20:AB22"/>
    <mergeCell ref="AR20:AR22"/>
    <mergeCell ref="A17:A19"/>
    <mergeCell ref="B17:B19"/>
    <mergeCell ref="Z17:Z19"/>
    <mergeCell ref="AA17:AA19"/>
    <mergeCell ref="AB17:AB19"/>
    <mergeCell ref="AR17:AR19"/>
    <mergeCell ref="A20:A22"/>
    <mergeCell ref="AR26:AR28"/>
    <mergeCell ref="A23:A25"/>
    <mergeCell ref="B23:B25"/>
    <mergeCell ref="Z23:Z25"/>
    <mergeCell ref="AA23:AA25"/>
    <mergeCell ref="A26:A28"/>
    <mergeCell ref="AB26:AB28"/>
    <mergeCell ref="B20:B22"/>
    <mergeCell ref="Z20:Z22"/>
    <mergeCell ref="AR29:AR31"/>
    <mergeCell ref="AA32:AA34"/>
    <mergeCell ref="AB32:AB34"/>
    <mergeCell ref="AB23:AB25"/>
    <mergeCell ref="AR23:AR25"/>
    <mergeCell ref="B26:B28"/>
    <mergeCell ref="Z26:Z28"/>
    <mergeCell ref="AA26:AA28"/>
    <mergeCell ref="A40:C40"/>
    <mergeCell ref="A32:A34"/>
    <mergeCell ref="B32:B34"/>
    <mergeCell ref="Z32:Z34"/>
    <mergeCell ref="AR32:AR34"/>
    <mergeCell ref="A29:A31"/>
    <mergeCell ref="B29:B31"/>
    <mergeCell ref="Z29:Z31"/>
    <mergeCell ref="AA29:AA31"/>
    <mergeCell ref="AB29:AB31"/>
    <mergeCell ref="AA49:AY49"/>
    <mergeCell ref="A35:B37"/>
    <mergeCell ref="Z35:Z37"/>
    <mergeCell ref="AA35:AB37"/>
    <mergeCell ref="AR35:AR37"/>
    <mergeCell ref="A39:C39"/>
    <mergeCell ref="A41:C41"/>
    <mergeCell ref="U43:V43"/>
    <mergeCell ref="W43:X43"/>
    <mergeCell ref="A49:Z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3"/>
  <colBreaks count="1" manualBreakCount="1">
    <brk id="26" max="4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2014-01-20T04:13:01Z</cp:lastPrinted>
  <dcterms:modified xsi:type="dcterms:W3CDTF">2014-01-27T04:55:02Z</dcterms:modified>
  <cp:category/>
  <cp:version/>
  <cp:contentType/>
  <cp:contentStatus/>
</cp:coreProperties>
</file>