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5" activeTab="0"/>
  </bookViews>
  <sheets>
    <sheet name="приложение 1.2._2011" sheetId="1" r:id="rId1"/>
    <sheet name="приложение 6.2" sheetId="2" r:id="rId2"/>
    <sheet name="приложение 7.1" sheetId="3" r:id="rId3"/>
    <sheet name="приложение 7.2" sheetId="4" r:id="rId4"/>
    <sheet name="приложение 8" sheetId="5" r:id="rId5"/>
    <sheet name="приложение 9" sheetId="6" r:id="rId6"/>
  </sheets>
  <externalReferences>
    <externalReference r:id="rId9"/>
  </externalReferences>
  <definedNames>
    <definedName name="_xlnm.Print_Area" localSheetId="2">'приложение 7.1'!$A$1:$W$350</definedName>
    <definedName name="_xlnm.Print_Area" localSheetId="3">'приложение 7.2'!$A$1:$AJ$326</definedName>
    <definedName name="Excel_BuiltIn_Print_Area_3_1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7">#REF!</definedName>
    <definedName name="Excel_BuiltIn_Print_Area_8">"$#ССЫЛ!.$A$1:$V$23"</definedName>
  </definedNames>
  <calcPr fullCalcOnLoad="1"/>
</workbook>
</file>

<file path=xl/sharedStrings.xml><?xml version="1.0" encoding="utf-8"?>
<sst xmlns="http://schemas.openxmlformats.org/spreadsheetml/2006/main" count="2310" uniqueCount="1007">
  <si>
    <t xml:space="preserve">Стоимость основных этапов работ по реализации инвестиционной программы компании на 2011 год </t>
  </si>
  <si>
    <t>№№</t>
  </si>
  <si>
    <t>Наименование объекта*</t>
  </si>
  <si>
    <t>Технические характеристики реконструируемых объектов</t>
  </si>
  <si>
    <t>Плановый объем финансирования, млн. руб.**</t>
  </si>
  <si>
    <t>Технические характеристики созданных объектов</t>
  </si>
  <si>
    <t>Генерирующие объекты</t>
  </si>
  <si>
    <t xml:space="preserve">Подстанции </t>
  </si>
  <si>
    <t>Линии электропередачи</t>
  </si>
  <si>
    <t>Иные
объекты</t>
  </si>
  <si>
    <t>Иные 
объекты</t>
  </si>
  <si>
    <t xml:space="preserve">ВСЕГО, </t>
  </si>
  <si>
    <t>год ввода в эксплуатацию</t>
  </si>
  <si>
    <t>Нормативный срок службы, лет</t>
  </si>
  <si>
    <t>мощность, МВт</t>
  </si>
  <si>
    <t>тепловая энергия,
Гкал/час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</si>
  <si>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</si>
  <si>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</si>
  <si>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</si>
  <si>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</si>
  <si>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</si>
  <si>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</si>
  <si>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</si>
  <si>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</si>
  <si>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</si>
  <si>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</si>
  <si>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</si>
  <si>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>Нормативный 
срок службы, 
лет</t>
  </si>
  <si>
    <t>тепловая энергия, 
Гкал/час</t>
  </si>
  <si>
    <t>Техническое перевооружение и реконструкция</t>
  </si>
  <si>
    <t xml:space="preserve"> </t>
  </si>
  <si>
    <t>1.1.</t>
  </si>
  <si>
    <t>Энергосбережение и повышение энергетической эффективности</t>
  </si>
  <si>
    <t>1.1.1.</t>
  </si>
  <si>
    <t>Техническое перевооружение  ТП,РП. Замена маслянных выключателей на вакуумные</t>
  </si>
  <si>
    <t>г.Орел</t>
  </si>
  <si>
    <t xml:space="preserve"> В РП-1 на ОЛ-1,ОЛ-4, ОЛ-6, ОЛ-7</t>
  </si>
  <si>
    <t>МВ-4шт</t>
  </si>
  <si>
    <t>ВВ</t>
  </si>
  <si>
    <t xml:space="preserve"> В РП-4 на ОЛ-42,ОЛ-47</t>
  </si>
  <si>
    <t>МВ-2шт</t>
  </si>
  <si>
    <t xml:space="preserve"> В РП-5 на ОЛ-52,ОЛ-53,ОЛ-54, ОЛ-55</t>
  </si>
  <si>
    <t xml:space="preserve"> В РП-6 на ОЛ-60</t>
  </si>
  <si>
    <t>МВ-1шт</t>
  </si>
  <si>
    <t xml:space="preserve"> В РП-8 на ОЛ-80,ОЛ-83</t>
  </si>
  <si>
    <t xml:space="preserve"> В РП-22 на ОЛ-15</t>
  </si>
  <si>
    <t>ИТОГО г. Орел</t>
  </si>
  <si>
    <t>Ливенский МФ</t>
  </si>
  <si>
    <t>В ЦРП фидер 4,10</t>
  </si>
  <si>
    <t>ТП-142  ПЛ-1 , ПЛ-5</t>
  </si>
  <si>
    <t>ИТОГО  МФ</t>
  </si>
  <si>
    <t>ВСЕГО:</t>
  </si>
  <si>
    <t>1.1.2</t>
  </si>
  <si>
    <t xml:space="preserve">Реконструкция кабельных линий </t>
  </si>
  <si>
    <t>замена КЛ-6кВ от ТП-854 доТП-852</t>
  </si>
  <si>
    <t>ААБ-6 3х95</t>
  </si>
  <si>
    <t xml:space="preserve">АСБ-10 </t>
  </si>
  <si>
    <t>замена КЛ-0,4кВ от ТП-701 до ВРУ ул.Ст.Разина,14</t>
  </si>
  <si>
    <t>ААБл 3х185+  1х70</t>
  </si>
  <si>
    <t>АСБ-1</t>
  </si>
  <si>
    <t>монтаж КЛ-0,4кВ от ТП-701 до ВРУ ул.Ст.Разина,12</t>
  </si>
  <si>
    <t>АСБ 3х50+  1х25</t>
  </si>
  <si>
    <t>замена КЛ-0,4кВ от ТП-3 до ВРУ Бульвар Победы,7</t>
  </si>
  <si>
    <t>СБ- 3х50+1х25</t>
  </si>
  <si>
    <t>замена КЛ-0,4кВ от ТП-85до ВРУ ул.Антонова,5</t>
  </si>
  <si>
    <t>ААШв  3х70</t>
  </si>
  <si>
    <t>АСБ-1  4х70</t>
  </si>
  <si>
    <t>монтаж  КЛ-0,4кВ от              ТП-85 до ВРУ Наугорское ш-се, 11</t>
  </si>
  <si>
    <t>АСБ-10 3х95                АСБ-10     3х95</t>
  </si>
  <si>
    <t>0,08          0,051</t>
  </si>
  <si>
    <t>АСБ-1 4х95</t>
  </si>
  <si>
    <t>монтаж на КЛ-0,4кВ от  ТП-129 до ВРУ Пионерская, 6</t>
  </si>
  <si>
    <t>АСБ-13х50+  1х25</t>
  </si>
  <si>
    <t>замена КЛ-6кВ от п/ст «Черкасская» до ТП-122 в г.Ливны</t>
  </si>
  <si>
    <t>АСБ 3х150</t>
  </si>
  <si>
    <t xml:space="preserve">АСБ-6 </t>
  </si>
  <si>
    <t>1.1.3.</t>
  </si>
  <si>
    <t xml:space="preserve">Реконструкция, техническое перевооружение воздушных линий </t>
  </si>
  <si>
    <t>Монтаж СИП 2А от РП-25 по ул.Костомаровская и                                       Левый Берег реки Оки</t>
  </si>
  <si>
    <t>1995               1995</t>
  </si>
  <si>
    <t>15                     15</t>
  </si>
  <si>
    <t>дер         ж/б, дер</t>
  </si>
  <si>
    <t>А 35        А35</t>
  </si>
  <si>
    <t>ж/б</t>
  </si>
  <si>
    <t>СИП 2А 3х50+   1х54,6+   1х16</t>
  </si>
  <si>
    <t>Монтаж СИП 2А от ТП-87 по                          ул. Парижской коммуны и               ул.Куйбышева</t>
  </si>
  <si>
    <t>1998                 1998</t>
  </si>
  <si>
    <t>ж/б        ж/б, дер</t>
  </si>
  <si>
    <t>Монтаж СИП 2А от ТП-420 по пер.Карачевскому</t>
  </si>
  <si>
    <t xml:space="preserve">дер </t>
  </si>
  <si>
    <t>А 35,   А 25</t>
  </si>
  <si>
    <t>Монтаж СИП 2А от ТП-625 по ул.Магазинная и                                                  ул.2-я Курская</t>
  </si>
  <si>
    <t>1968                 1959</t>
  </si>
  <si>
    <t>Монтаж СИП 2А от ТП-646 по ул.Е.Пугачева,                                             ул.5-го Августа,                                 пер.Левоовражному</t>
  </si>
  <si>
    <t>1996                 2003                      1998</t>
  </si>
  <si>
    <t>15               15                       15</t>
  </si>
  <si>
    <t>дер                 ж/б                    дер</t>
  </si>
  <si>
    <t>А 35                     А 35                  А 35</t>
  </si>
  <si>
    <t>Монтаж СИП 2А от ТП-650 по ул.Пушкина,                                                ул.Лесная,                                                     пер.Мало-Новосильскому</t>
  </si>
  <si>
    <t>1998                               1966                 1970</t>
  </si>
  <si>
    <t>дер       дер          дер</t>
  </si>
  <si>
    <t>Монтаж СИП 2А от ТП-658 по                       ул.Лесная и                                         пер.Хлебный</t>
  </si>
  <si>
    <t>1978         1978</t>
  </si>
  <si>
    <t>15                       15</t>
  </si>
  <si>
    <t xml:space="preserve">дер       дер </t>
  </si>
  <si>
    <t>Монтаж СИП 2А от ТП-670 по ул.Шульгина и                                    ул.Деповская</t>
  </si>
  <si>
    <t>1994             2001</t>
  </si>
  <si>
    <t>дер       ж/б</t>
  </si>
  <si>
    <t>Монтаж СИП 2А от ТП-678 по пер.Ремонтному и                             пер.Светофорному</t>
  </si>
  <si>
    <t>1998                  1998</t>
  </si>
  <si>
    <t>15                15</t>
  </si>
  <si>
    <t>ж/б       дер</t>
  </si>
  <si>
    <t>Монтаж СИП 2А от ТП-739 по ул.Половецкой и                                ул.Яблочной</t>
  </si>
  <si>
    <t>ж/б,дер       ж/б</t>
  </si>
  <si>
    <t>Монтаж СИП 2А от ТП-743 по пос.Кирпичного завода</t>
  </si>
  <si>
    <t>дер</t>
  </si>
  <si>
    <t>А 35</t>
  </si>
  <si>
    <t>Монтаж СИП 2А от КТП-854 по ул.Молодежная</t>
  </si>
  <si>
    <t>Монтаж СИП 2А от ТП-704 по ул.Московской</t>
  </si>
  <si>
    <t>Монтаж СИП 2А от ТП-718 по ул.Пушкина</t>
  </si>
  <si>
    <t>СИП 2А 3х50+   1х54,6+   1х15</t>
  </si>
  <si>
    <t>Болховский участок</t>
  </si>
  <si>
    <t>ВЛ — 0,4 кВ</t>
  </si>
  <si>
    <t xml:space="preserve">Монтаж СИП 2А от ТП-15 по ул. 8 Марта в г. Болхове </t>
  </si>
  <si>
    <t>дер. с ж/б приставкой</t>
  </si>
  <si>
    <t>А-25</t>
  </si>
  <si>
    <t>ж/б СВ-95</t>
  </si>
  <si>
    <t>СИП 2А3х35+1х54,6</t>
  </si>
  <si>
    <t xml:space="preserve">Монтаж СИП 2А от ТП-11 по ул. Свердлова в г. Болхове </t>
  </si>
  <si>
    <t>дер. с ж/б приставкой, ж/б</t>
  </si>
  <si>
    <t>А-35</t>
  </si>
  <si>
    <t xml:space="preserve">Монтаж СИП 2А от ТП-27 по ул. Ленинская гора в г. Болхове </t>
  </si>
  <si>
    <t>А-16</t>
  </si>
  <si>
    <t xml:space="preserve">Монтаж СИП 2А от ТП-33 по ул. Садовой в г. Болхове </t>
  </si>
  <si>
    <t xml:space="preserve">Монтаж СИП 2А от РП-1 по ул. Тургенева в г. Болхове </t>
  </si>
  <si>
    <t>Знаменский участок</t>
  </si>
  <si>
    <t>Монтаж СИП 2А  по ул. Ленина от ТП-2 Ф-3</t>
  </si>
  <si>
    <t>Монтаж СИП 2А от ТП-6 по ул. Элеваторной в г. Ливны</t>
  </si>
  <si>
    <t>Монтаж СИП 2А от ТП-106 по ул.9 Мая, пер.Курскому, пер.Западному в г. Ливны</t>
  </si>
  <si>
    <t>1964, 1988, 1966</t>
  </si>
  <si>
    <t>Монтаж СИП 2А от ТП-7 по ул. Кирова в г. Ливны</t>
  </si>
  <si>
    <t>Монтаж СИП 2А от ТП-105 по пер. Московскому в г. Ливны</t>
  </si>
  <si>
    <t>Монтаж СИП 2А от ТП-36 по ул. Павлова, ул. Пухова в г. Ливны</t>
  </si>
  <si>
    <t>Монтаж СИП 2А от ТП-138 по ул. Воронежской в г. Ливны</t>
  </si>
  <si>
    <t>Монтаж СИП 2А от ТП-39 по ул. Чел-панова, 1-ому пер.Челпанова в г. Ливны</t>
  </si>
  <si>
    <t>Верховский МФ</t>
  </si>
  <si>
    <t xml:space="preserve">Монтаж СИП 2А от ТП-6 по пер. Речному  в с.Русский Брод </t>
  </si>
  <si>
    <t>А-25,   А-35</t>
  </si>
  <si>
    <t>Монтаж СИП 2А от ТП-17 по пер. Кооперативному и ул. Кооперативной  в п. Хомутово</t>
  </si>
  <si>
    <t>Монтаж СИП 2А от ТП-9 по ул.Октябрьской и Строительной  в п. Хомутово</t>
  </si>
  <si>
    <t>Змиевский МФ</t>
  </si>
  <si>
    <t>Монтаж СИП 2А от ТП-3 по ул.Котов-ского в п. Змиевка</t>
  </si>
  <si>
    <t>Монтаж СИП 2А от ТП-3 по ул. Садовой в п. Глазуновка</t>
  </si>
  <si>
    <t>Монтаж СИП 2А от ТП-2 по ул. Советской в г. Малоархангельске</t>
  </si>
  <si>
    <t>ж/б кругл.</t>
  </si>
  <si>
    <t>Монтаж СИП 2А от ТП-5 по ул. Фета в п. Покровское</t>
  </si>
  <si>
    <t>Нарышкинский МФ</t>
  </si>
  <si>
    <t>Монтаж СИП 2А от ТП-15 по ул. Урицкого в п. Нарышкино</t>
  </si>
  <si>
    <t>Монтаж СИП 2А от ТП-15 по ул. Ленина в п. Нарышкино</t>
  </si>
  <si>
    <t>Монтаж СИП 2А от ТП-5 по ул. Горького в п. Шаблыкино</t>
  </si>
  <si>
    <t>Монтаж СИП 2А от ТП-1 по ул. Совет-ской, ул. Пушкина в п. Хотынец</t>
  </si>
  <si>
    <t>Монтаж СИП 2А от ТП-4 по ул. Заречной в с. Сосково</t>
  </si>
  <si>
    <t>Залегощенский МФ</t>
  </si>
  <si>
    <t>Монтаж СИП 2А от ТП-4 по ул.Моло-дежной и Первомайской  в с. Моховое</t>
  </si>
  <si>
    <t>Монтаж СИП 2А от ТП-4 по ул. Перво-майской и Садовой  в с. Моховое</t>
  </si>
  <si>
    <t>Монтаж СИП 2А от ТП-4 по ул.Моло-дежной мкр-он Березовый, в с. Корсаково</t>
  </si>
  <si>
    <t>Монтаж СИП 2А от ТП-2 по ул. Володарского  в г. Новосиль</t>
  </si>
  <si>
    <t>Монтаж СИП 2А  от ТП-2 по ул. Октябрьской  в г. Новосиль</t>
  </si>
  <si>
    <t>Монтаж СИП 2А от ТП-29 по ул. 7-е Ноября  в п. Залегощь</t>
  </si>
  <si>
    <t>Кромской МФ</t>
  </si>
  <si>
    <t>Монтаж СИП 2А от ТП-9 по ул. 70 лет Октября в с. Тросна</t>
  </si>
  <si>
    <t>Монтаж СИП 2А от ТП-6 по ул. Коллективной  в г. Дмитровске</t>
  </si>
  <si>
    <t>Монтаж СИП 2А от ТП-6 по ул. Интернациональной  в г. Дмитровске</t>
  </si>
  <si>
    <t>1.1.4.</t>
  </si>
  <si>
    <t>Оснащение спецоборудованием, спецтехникой и приборами.</t>
  </si>
  <si>
    <t>1.1.4.1</t>
  </si>
  <si>
    <t>Приобретение приборов и аппаратуры</t>
  </si>
  <si>
    <t>Вольтметры</t>
  </si>
  <si>
    <t>30шт</t>
  </si>
  <si>
    <t>Амперметры</t>
  </si>
  <si>
    <t>24шт</t>
  </si>
  <si>
    <t>Частотометры</t>
  </si>
  <si>
    <t>1шт</t>
  </si>
  <si>
    <t>Пирометры(тепловизоры)</t>
  </si>
  <si>
    <t>8шт</t>
  </si>
  <si>
    <t>Прибор контроля качества эл.энергии</t>
  </si>
  <si>
    <t>7шт</t>
  </si>
  <si>
    <t>Указатель высокого напряжения</t>
  </si>
  <si>
    <t>6шт</t>
  </si>
  <si>
    <t>Токоизмерительные клещи до1 кВ</t>
  </si>
  <si>
    <t>12шт</t>
  </si>
  <si>
    <t>Токоизмерительные клещи до 10кВ</t>
  </si>
  <si>
    <t>Многофункциональный прибор проверки узлов учета(без отключения и снятия счетчика)</t>
  </si>
  <si>
    <t>10шт</t>
  </si>
  <si>
    <t>Вольтамперфазомер (ВАФ)</t>
  </si>
  <si>
    <t>2шт</t>
  </si>
  <si>
    <t>Мегаомметр Е-6-24</t>
  </si>
  <si>
    <t>Измеритель сопротивления заземления</t>
  </si>
  <si>
    <t>3шт</t>
  </si>
  <si>
    <t>Измеритель тока короткого замыкания</t>
  </si>
  <si>
    <t>ИТОГО 1.1.4.1</t>
  </si>
  <si>
    <t>1.1.4.2</t>
  </si>
  <si>
    <t>Приобретение спецоборудования и спецтехники</t>
  </si>
  <si>
    <t>Радиостанция  "Icom"</t>
  </si>
  <si>
    <t>14шт</t>
  </si>
  <si>
    <t>Компьютеры</t>
  </si>
  <si>
    <t>Автоподъёмник</t>
  </si>
  <si>
    <t>5шт</t>
  </si>
  <si>
    <t>Автомашина «Соболь» ГАЗ-27527</t>
  </si>
  <si>
    <t>Оперативно-ремонтная машина (фургон)  ГАЗ-3307</t>
  </si>
  <si>
    <t>Автокран КС-35714 К-3</t>
  </si>
  <si>
    <t>БКУ МТЗ-82 (ямобур)</t>
  </si>
  <si>
    <t>ИТОГО 1.1.4.2</t>
  </si>
  <si>
    <t>1.2.</t>
  </si>
  <si>
    <t>Создание систем противоаварийной и режимной автоматики</t>
  </si>
  <si>
    <t>1.2.1</t>
  </si>
  <si>
    <t xml:space="preserve">Орел </t>
  </si>
  <si>
    <t>Техперевооружение РП. Внедрение микропроцессорной релейной защиты и автоматики в РП-1; ПЛ-801; ПЛ-103; ПЛ-107</t>
  </si>
  <si>
    <t>Техперевооружение РП. Внедрение микропроцессорной релейной защиты и автоматики в РП-23; ПЛ-22; ПЛ-3</t>
  </si>
  <si>
    <t>Техперевооружение РП. Внедрение микропроцессорной релейной защиты и автоматики в РП-5; ПЛ 1Б; ПЛ2</t>
  </si>
  <si>
    <t>Техперевооружение РП. Внедрение микропроцессорной релейной защиты и автоматики в РП-6; ПЛ-510</t>
  </si>
  <si>
    <t>Техперевооружение РП. Внедрение микропроцессорной релейной защиты и автоматики в       РП-15; ПЛ-10478; ПЛ-10461</t>
  </si>
  <si>
    <t>Техперевооружение РП. Внедрение микропроцессорной релейной защиты и автоматики в      РП-11; ПЛ-739; ПЛ-708</t>
  </si>
  <si>
    <t>Техперевооружение РП. Внедрение микропроцессорной релейной защиты и автоматики в      РП-10; ПЛ-24; ПЛ-00</t>
  </si>
  <si>
    <t>Техперевооружение РП. Внедрение микропроцессорной релейной защиты и автоматики в      РП-24; ПЛ-02; ПЛ-254</t>
  </si>
  <si>
    <t>Техперевооружение РП. Внедрение микропроцессорной релейной защиты и автоматики в      РП-28; КЛ 6 кВ №629 ПС Западная; КЛ 6 кВ №636 ПС Западная</t>
  </si>
  <si>
    <t>Техперевооружение РП. Внедрение микропроцессорной релейной защиты и автоматики в      РП-31; ПЛ-15; ПЛ</t>
  </si>
  <si>
    <t>ВСЕГО МП РЗА</t>
  </si>
  <si>
    <t>1.3.</t>
  </si>
  <si>
    <t xml:space="preserve">Создание систем телемеханики  и связи </t>
  </si>
  <si>
    <t>1.3.1</t>
  </si>
  <si>
    <t>Орел</t>
  </si>
  <si>
    <t>Построение автоматизированной информационно-измерительной системы АСКУЭ  в распределительных сетях 6/10 кВ по питающим линиям в  РП-2</t>
  </si>
  <si>
    <t>Построение автоматизированной информационно-измерительной системы АСКУЭ  в распределительных сетях 6/10 кВ по питающим линиям в  РП-9</t>
  </si>
  <si>
    <t>Построение автоматизированной информационно-измерительной системы АСКУЭ  в распределительных сетях 6/10 кВ по питающим линиям в  РП-21</t>
  </si>
  <si>
    <t>Построение автоматизированной информационно-измерительной системы АСКУЭ  в распределительных сетях 6/10 кВ по питающим линиям в  РП-11</t>
  </si>
  <si>
    <t>Построение автоматизированной информационно-измерительной системы АСКУЭ  в распределительных сетях 6/10 кВ по питающим линиям в  РП-24</t>
  </si>
  <si>
    <t>ВСЕГО ТМ</t>
  </si>
  <si>
    <t>1.4.1</t>
  </si>
  <si>
    <t>Построение АСКУЭ  в распределительных сетях 0,4 кВ на вводах в ТП-302 ул.Карачевская (41,41А,41Г,47, 49, 52, 53, 54, 56,58, 62-80 четн., 35-63 нечет.); Панчука (20, 39, 24-29, 31-43 нечет.)</t>
  </si>
  <si>
    <t>ч/с</t>
  </si>
  <si>
    <t xml:space="preserve">Построение АСКУЭ  в распределительных сетях 0,4 кВ на вводах в ТП-303 ул.Васильевская (46, 50, 26, 35-74); ул.Энгельса (13,15, 32-51), ул.1 Пушкарная (8,14,18,22); пер. Васильевский (1-16); ул. Панчука (30-38 четн., 45-53 нечет.) </t>
  </si>
  <si>
    <t>Построение АСКУЭ  в распределительных сетях 0,4 кВ на вводах в ТП-304 ул.2 Посадская (22,26); ул. 1 Пушкарная (20А, 22А,24,25)</t>
  </si>
  <si>
    <t>Построение АСКУЭ  в распределительных сетях 0,4 кВ на вводах в ТП-305 ул.1 Пушкарная (23,26-108); ул.Панчука(40-75); Стандартный пр-д (1-33); ул. 2Пушкарная (1-26); Наб.Есенина (1-6); 2 Пушкарная, 18; ул.Зеленый берег (22-38 четн.сторона); ул. Панчука (72-81); ул. 2 Пушкарная (27-66)</t>
  </si>
  <si>
    <t>Построение АСКУЭ  в распределительных сетях 0,4 кВ на вводах в ТП-306 ул.2Пушкарная (2,4,6, 74,76); ул. Зеленый берег (1-20)</t>
  </si>
  <si>
    <t>Построение АСКУЭ  в распределительных сетях 0,4 кВ на вводах в ТП-307 ул. 2Пушкарная, 125; ул.Земнухова (1-24); ул.Чайкиной (1-23 нечет.сторона, 24); ул. Островского (22-63); ул.Спивака, 6; ул. Царев брод (2-54 четн.сторона); ул.Громовой (1-18, 20,22,24,26); ул. 2Пушкарная (93-107 нечетн.стор., 118-142); ул.Кошевого (1-33); ул. Тюленина (1-38); ул. Чапаева, 88,90; пер.Шевцовой (1-9, 13,15,17,21)</t>
  </si>
  <si>
    <t>Построение АСКУЭ  в распределительных сетях 0,4 кВ на вводах в ТП-308 ул.Карачевская (50,56); ул. 2 Посадская, 19, 19А</t>
  </si>
  <si>
    <t>Построение АСКУЭ  в распределительных сетях 0,4 кВ на вводах в ТП-310 ул.Карачевская, 42; ул.Комсомольская (32,36,40,40А,44); ул.1Посадская (14,15)</t>
  </si>
  <si>
    <t>Построение АСКУЭ  в распределительных сетях 0,4 кВ на вводах в ТП-311 ул. Карачевская (12/3, 22, 26); ул. 1 Посадская (17,26); пер. Михаило-Архангельский, 20</t>
  </si>
  <si>
    <t>Построение АСКУЭ  в распределительных сетях 0,4 кВ на вводах в ТП-312 пер.Воскресенский, 5; ул. Гостиная (1,6,6А); пл. К.Маркса, 2</t>
  </si>
  <si>
    <t>Построение АСКУЭ  в распределительных сетях 0,4 кВ на вводах в ТП-314</t>
  </si>
  <si>
    <t>Построение АСКУЭ  в распределительных сетях 0,4 кВ на вводах в ТП-322 ул. Песковская (6,8,10,12, 12А, 16); пер.У-Холодный (3-7, 11-19 нечетн.сторона); ул. Ш-Холодная (1-27 нечетн.сторона); ул.Холодная (1,3,5,7,9); ул.Ш-Холодная (2,4,6,8); ул. Маяковского (4,6,12,20А, 108-136 четн.сторона, 143-191 нечетн.сторона); ул. Мопра (5-19 нечетн.сторона)</t>
  </si>
  <si>
    <t>Построение АСКУЭ  в распределительных сетях 0,4 кВ на вводах в ТП-323 ул. Брянская (2-52 четн.сторона); ул. Мопра (1-3)</t>
  </si>
  <si>
    <t>Построение АСКУЭ  в распределительных сетях 0,4 кВ на вводах в ТП-331 ул. Комсомольская, 94; ул. Карачевская (67-79 нечетн., 82, 86-96 четн.); ул. Садово-Пушкарная (6-20 четн.); пер.Соляной (9,23 нечетн.)</t>
  </si>
  <si>
    <t>Построение АСКУЭ  в распределительных сетях 0,4 кВ на вводах в ТП-335 пер. Комсомольский (3, 8-16 четн.); пер. Кузнечный (2-20 четн.); ул. Латышских стрелков (2,2А); пер. Молодогвардейский (2,11,13, 15, 19); ул. Мопра (39,41); пер. Щепной (1,3,4,6)</t>
  </si>
  <si>
    <t>Построение АСКУЭ  в распределительных сетях 0,4 кВ на вводах в ТП-336 ул. Комсомольская, 144; пер. Комсомольский, 24</t>
  </si>
  <si>
    <t>Построение АСКУЭ  в распределительных сетях 0,4 кВ на вводах в ТП-3 ул. Октябрьская (27А, 29,31); Б-р Победы (3,7)</t>
  </si>
  <si>
    <t>Построение АСКУЭ  в распределительных сетях 0,4 кВ на вводах в ТП-4 ул. Салтыкова-Щедрина, 25/27; ул. Тургенева, 22А</t>
  </si>
  <si>
    <t>Построение АСКУЭ  в распределительных сетях 0,4 кВ на вводах в ТП-5 ул. Полесская (2, 2А); ул Салтыкова-Щедрина, 31</t>
  </si>
  <si>
    <t>Построение АСКУЭ  в распределительных сетях 0,4 кВ на вводах в ТП-6 ул. Октябрьская (16/18, 22)</t>
  </si>
  <si>
    <t>Построение АСКУЭ  в распределительных сетях 0,4 кВ на вводах в ТП-9 ул. Пионерская, 10; б-р Победы, 10</t>
  </si>
  <si>
    <t>Построение АСКУЭ  в распределительных сетях 0,4 кВ на вводах в ТП-11 б-р Победы, 5; ул. С.Шаумяна (2,4); ул. Полесская, 8</t>
  </si>
  <si>
    <t>Построение АСКУЭ  в распределительных сетях 0,4 кВ на вводах в ТП-12 ул. Октябрьская (28, 37, 39,43,45); ул. Пионерская, 19</t>
  </si>
  <si>
    <t>Построение АСКУЭ  в распределительных сетях 0,4 кВ на вводах в ТП-18 ул. Ленина, 30А; пер. Почтовый (14, 16)</t>
  </si>
  <si>
    <t>Построение АСКУЭ  в распределительных сетях 0,4 кВ на вводах в ТП-19 ул. Тургенева, 16</t>
  </si>
  <si>
    <t>Построение АСКУЭ  в распределительных сетях 0,4 кВ на вводах в ТП-20 ул.М.Горького, 29А</t>
  </si>
  <si>
    <t>Построение АСКУЭ  в распределительных сетях 0,4 кВ на вводах в ТП-21 ул. М.Горького (10, 27); ул. Салтыкова-Щедрина, 12/16; ул.Тургенева, 22/10</t>
  </si>
  <si>
    <t>Построение АСКУЭ  в распределительных сетях 0,4 кВ на вводах в ТП-22 ул. Магазинная, 29; ул. М.Горького (20,22,24)</t>
  </si>
  <si>
    <t>Построение АСКУЭ  в распределительных сетях 0,4 кВ на вводах в ТП-23 ул. 7 ноября (3/5, 7, 12,15-17, 17А, 28,45); ул. Октябрьская, 6; ул. Салтыкова-Щедрина (3-9 нечетн.)</t>
  </si>
  <si>
    <t>Построение АСКУЭ  в распределительных сетях 0,4 кВ на вводах в ТП-28 ул. Ленина (24/26, 28, 32/34)</t>
  </si>
  <si>
    <t>Построение АСКУЭ  в распределительных сетях 0,4 кВ на вводах в ТП-29 ул. Тургенева, 20</t>
  </si>
  <si>
    <t>Построение АСКУЭ  в распределительных сетях 0,4 кВ на вводах в ТП-31 ул. М.Горького (39, 41)</t>
  </si>
  <si>
    <t>Построение АСКУЭ  в распределительных сетях 0,4 кВ на вводах в ТП-601 ул. Ст.-Московская (2, 4)</t>
  </si>
  <si>
    <t xml:space="preserve">Построение АСКУЭ  в распределительных сетях 0,4 кВ на вводах в ТП-606 ул. Ливенская, 1; ул. Рабочий городок (21, 22); ул. 1 Курская (94-130 четн., 95,99,99А, 101); пер. Мостовой, 1; ул. Рабочий городок (1-20); пер. Транспортный (1-9 нечетн., 12,13, 14-34 четн.); </t>
  </si>
  <si>
    <t xml:space="preserve">Построение АСКУЭ  в распределительных сетях 0,4 кВ на вводах в ТП-616 ул. Московская (36,36А, 44); пл. Поликарпова, 32; ул.Ст.-Московская (14,18, 19, 24, 37, 37А, 55, 39-53 нечет., 11-35 нечет.); ул. Е. Пугачева (2,4,6,8,10,13-59); пер. Пожарный (1-23); ул. Прядильная (1-18); </t>
  </si>
  <si>
    <t>Построение АСКУЭ  в распределительных сетях 0,4 кВ на вводах в ТП-617 ул. Московская (60-66 четн.)</t>
  </si>
  <si>
    <t>Построение АСКУЭ  в распределительных сетях 0,4 кВ на вводах в ТП-619 ул. Московская (68, 76, 78, 80);ул. Железнодорожная (18, 23-49 нечетн., 50-70, 74, 76, 36); пер. Аптечный (3,6-8); пер. Гаражный (1-4, 6-12 четн.); пер. Детский (4-8,10); пер.Железнодорожный (18,21,27-41 нечетн.); пер. Металлистов (1,3); пер.Строительный (1,2,5,7,9); пер. Ударников (6,11,13); пер. Нагорный (3-11 нечетн.); ул. Первомайская (6,7,9-38)</t>
  </si>
  <si>
    <t>Построение АСКУЭ  в распределительных сетях 0,4 кВ на вводах в ТП-622 ул. Московская (102-108 четн.)</t>
  </si>
  <si>
    <t>Построение АСКУЭ  в распределительных сетях 0,4 кВ на вводах в ТП-625 ул. 3 Курская (29,31, 58-78 четн., 81, 85А, 79-90, 92-102 четн.); ул. 5 Августа (16-40 четн.); ул. 4 Курская (64-82четн., 83-107, 109-121 нечетн.); ул. Магазинная (1,3-21); ул. Фомина (79-91нечет., 93-104); ул. 2Курская (88, 94,96,97); пр-д Курганный (2-28 четн.); ул. Магазинная (18,20,22-25)</t>
  </si>
  <si>
    <t>Построение АСКУЭ  в распределительных сетях 0,4 кВ на вводах в ТП-626 ул. 5Августа, 19; ул. 2 Курская, 52; ул. 3 Курская, 53; ул. Русанова, 42</t>
  </si>
  <si>
    <t>Построение АСКУЭ  в распределительных сетях 0,4 кВ на вводах в ТП-632 ул. Московская (28, 28А); пер. Новосильский (2А, 4, 4/11, 4А); ул. Пушкина, 9</t>
  </si>
  <si>
    <t xml:space="preserve">Построение АСКУЭ  в распределительных сетях 0,4 кВ на вводах в ТП-633 ул. Московская (24, 24А, 26); ул. Пушкина (7,7А, 18, 24); пл. Мира, 4 </t>
  </si>
  <si>
    <t>Построение АСКУЭ  в распределительных сетях 0,4 кВ на вводах в ТП-634 ул. Пушкина (20,22); ул. 4 Курская, 2; ул. Новосильская, 34</t>
  </si>
  <si>
    <t>Построение АСКУЭ  в распределительных сетях 0,4 кВ на вводах в ТП-635 ул. Новосильская, 7; ул. Пушкина (6,12,18)</t>
  </si>
  <si>
    <t>Построение АСКУЭ  в распределительных сетях 0,4 кВ на вводах в ТП-636 ул. Наб. Дубровинского (60, 62); ул. Фомина (1,2,4,4А)</t>
  </si>
  <si>
    <t>Построение АСКУЭ  в распределительных сетях 0,4 кВ на вводах в ТП-640-Н ул. 1 Курская (1-25нечет., 26-41, 29, 55, 57-77нечет.);  пер. Гористый (14, 2-6, 8-12четн.); ул. Русанова (47А, 47Б, 48А, 52, 49-59нечет, 60-77); ул. Е.Пугачева (76-84 четн., 101-105 нечет., 70-74четн, 97,99)</t>
  </si>
  <si>
    <t xml:space="preserve">Построение АСКУЭ  в распределительных сетях 0,4 кВ на вводах в ТП-642 ул. 1 Курская (1, 6-24четн.); ул. Пушкина, 49; ул. Новосильская (17,19,21,40-44четн.,48,50); пер. Речной (41,43,52) </t>
  </si>
  <si>
    <t>Построение АСКУЭ  в распределительных сетях 0,4 кВ на вводах в ТП-643 ул. Е. Пугачева (52-60четн., 61-67, 69-79нечет., 85-93нечет.); ул. Новосильская (37-43нечет., 54-70 четн., ул. Пушкина (57, 61-71 нечет., 82-112 четн., 116)</t>
  </si>
  <si>
    <t>Построение АСКУЭ  в распределительных сетях 0,4 кВ на вводах в ТП-745 ул. Михалицына (4,6,8, 13-19 нечет., 39,41,45-61 нечет., 12-58 четн., 67,69, 77-85 нечет.); Московское ш-се (19-29 нечет.); пер. Гончарный (1-5); ул. Запрудная (1-32,34,36); пер. Сувенирный (1-6)</t>
  </si>
  <si>
    <t>Построение АСКУЭ  в распределительных сетях 0,4 кВ на вводах в ТП-747 пер. Межевой (2-16 четн.); Московское ш-се (33-83 нечет.); пер. Декоративный (2,4)</t>
  </si>
  <si>
    <t>Построение АСКУЭ  в распределительных сетях 0,4 кВ на вводах в ТП-748 пер. Межевой, 15</t>
  </si>
  <si>
    <t>Построение АСКУЭ  в распределительных сетях 0,4 кВ на вводах в ТП-767  Московское ш-се (66, 111)</t>
  </si>
  <si>
    <t>Построение АСКУЭ  в распределительных сетях 0,4 кВ на вводах в ТП-770 ул. Михалицына (68,83, 87-115 нечет., 60-68 четн.); пер. Верхне-Щекотихинский (1-11, 13-25 нечет., 22); ул. Запрудная (33,35,37); пер. Раздольный (9,10,12-18 четн., 15); пер. Щекотихинский (1-4,6,8)</t>
  </si>
  <si>
    <t>Построение АСКУЭ  в распределительных сетях 0,4 кВ на вводах в ТП-805 ул. Бурова (1,2); Московское ш-се (139, 141)</t>
  </si>
  <si>
    <t>Построение АСКУЭ  в распределительных сетях 0,4 кВ на вводах в ТП-809  Московское ш-се, 175</t>
  </si>
  <si>
    <t>Построение АСКУЭ  в распределительных сетях 0,4 кВ на вводах в ТП-811 Московское ш-се (160/1, 162, 166)</t>
  </si>
  <si>
    <t>Построение АСКУЭ  в распределительных сетях 0,4 кВ на вводах в ТП-813  Московское ш-се (170, 174, 178, 180)</t>
  </si>
  <si>
    <t>Построение АСКУЭ  в распределительных сетях 0,4 кВ на вводах в ТП-815 Московское ш-се (85-118, 70-84 четн.); пер. Черемховский (4-20 четн.); ул. Прокуровская (2-52 четн.); ул. Германо (1, 1Б)</t>
  </si>
  <si>
    <t>Построение АСКУЭ  в распределительных сетях 0,4 кВ на вводах в ТП-842 ул. Рощинская (27, 29, 33, 37)</t>
  </si>
  <si>
    <t>Построение АСКУЭ  в распределительных сетях 0,4 кВ на вводах в ТП-881 ул. Металлургов, 82</t>
  </si>
  <si>
    <t>Построение АСКУЭ  в распределительных сетях 0,4 кВ на вводах в РП-24 Московское ш-се (160/2, 160/3, 168, 170)</t>
  </si>
  <si>
    <t>1.4.2</t>
  </si>
  <si>
    <t>Построение АСКУЭ  в распределительных сетях 0,4 кВ на вводах в ТП-2 и в  жилом доме Тургенева 167А</t>
  </si>
  <si>
    <t xml:space="preserve"> Построение АСКУЭ  в распределительных сетях 0,4 кВ на вводах в ТП-4 и в жилых домах: Опухтина 30,47,49,90,; 4Ленинский пер. 37,; 5Ленинский пер. 38, Фрунзе 74,76,78,84,93</t>
  </si>
  <si>
    <t>1.4.3</t>
  </si>
  <si>
    <t>Построение АСКУЭ  в распределительных сетях 0,4 кВ на вводах в ЗТП-3 и в  жилых домах: пер. Ялымова 3/6</t>
  </si>
  <si>
    <t>Построение АСКУЭ  в распределительных сетях 0,4 кВ на вводах в ЗТП-4 для жилых домов: Комминтерна 30,32,; Ленина 53,; Чапаева 6,8,10,12</t>
  </si>
  <si>
    <t>Построение АСКУЭ  в распределительных сетях 0,4 кВ на вводах в ЗТП-5 и в  жилых домах: Пионерская 16</t>
  </si>
  <si>
    <t>Построение АСКУЭ  в распределительных сетях 0,4 кВ на вводах в ЗТП-7 и в  жилых домах: Ленина 95,105,107,115,121,123,125,127,129</t>
  </si>
  <si>
    <t>1.4.4</t>
  </si>
  <si>
    <t xml:space="preserve">Построение АСКУЭ  в распределительных сетях 0,4 кВ на вводах в ЗТП-4 для жилых домов: Ленина 100,102,118,130,150,154,168; Некрасова 2; Чапаева 5 </t>
  </si>
  <si>
    <t xml:space="preserve">Построение АСКУЭ  в распределительных сетях 0,4 кВ на вводах в ЗТП-5 для жилых домов: мик-н Садовый  9А; Садовая 1Б </t>
  </si>
  <si>
    <t xml:space="preserve">Построение АСКУЭ  в распределительных сетях 0,4 кВ на вводах в ЗТП-6 </t>
  </si>
  <si>
    <t>ВСЕГО АСКУЭ 0.4 кВ</t>
  </si>
  <si>
    <t>1.4.13</t>
  </si>
  <si>
    <t>Установка сервера АСУП ОАО «Орелоблэнерго» на базе ПО «Модус»</t>
  </si>
  <si>
    <t>1.4.14</t>
  </si>
  <si>
    <t>Проведение лицензирования клиентских рабочих мест для сервера АСУП ОАО «Орелоблэнерго» (терминальные и клиентские лицензии Microsoft)</t>
  </si>
  <si>
    <t>1.4.15</t>
  </si>
  <si>
    <t>Установка сетевой программного обеспечения АСУП ОАО «Орелоблэнерго» на базе ПО «Модус»</t>
  </si>
  <si>
    <t>ВСЕГО АСУП</t>
  </si>
  <si>
    <t>1.5.</t>
  </si>
  <si>
    <t>Установка устройств регулирования напряжения и компенсации реактивной мощности</t>
  </si>
  <si>
    <t>Объект 1</t>
  </si>
  <si>
    <t>Объект 2</t>
  </si>
  <si>
    <t>…</t>
  </si>
  <si>
    <t>2.</t>
  </si>
  <si>
    <t>Новое строительство</t>
  </si>
  <si>
    <t>2.1.</t>
  </si>
  <si>
    <t>2.1.1.</t>
  </si>
  <si>
    <t>9 этаж. 80 кв. жилой дом  ул.Розы Люксембург</t>
  </si>
  <si>
    <t>ТМГ-630  2 шт.</t>
  </si>
  <si>
    <t xml:space="preserve">АСБ-10   </t>
  </si>
  <si>
    <t>2.1.2.</t>
  </si>
  <si>
    <t>Жилой дом с офисн.помещение по ул.Раздольная, 76  корп.3</t>
  </si>
  <si>
    <t>2.1.3.</t>
  </si>
  <si>
    <t>254 кв. жилой дом со встроен. Неж.помещ. ул.Осипенко- ул.Лескова</t>
  </si>
  <si>
    <t>АСБ-10    АСБ-1</t>
  </si>
  <si>
    <t>0,415             0,53</t>
  </si>
  <si>
    <t>2.1.4.</t>
  </si>
  <si>
    <t>9 этаж. 154 кв. жилой дом ( поз.1, 2)  ул.Планерная — ул.Кромская</t>
  </si>
  <si>
    <t>ТМГ-400  2 шт.</t>
  </si>
  <si>
    <t>0,35              0,4</t>
  </si>
  <si>
    <t>2.1.5.</t>
  </si>
  <si>
    <t>9 этаж. 173 кв. жилой дом бульвар Молодежный, 20 (поз.19)</t>
  </si>
  <si>
    <t>АПвЭП-10    АСБ-1</t>
  </si>
  <si>
    <t>0,8              0,3</t>
  </si>
  <si>
    <t>2.1.6.</t>
  </si>
  <si>
    <t>Три 10 этаж. 63 кв. жилых дома  ул.Генерала Родина</t>
  </si>
  <si>
    <t>1,23              1,44</t>
  </si>
  <si>
    <t>2.1.7.</t>
  </si>
  <si>
    <t>Электрификация  участков СНТ «Лужки» ул.Афонина оформляемых под индивидуальное жилищное строительство</t>
  </si>
  <si>
    <t>ТМ-400     1 шт.</t>
  </si>
  <si>
    <t>СВ 95     СВ 110</t>
  </si>
  <si>
    <t>АСБ-10    СИП 2А</t>
  </si>
  <si>
    <t>1,26              1,4</t>
  </si>
  <si>
    <t>2.1.8.</t>
  </si>
  <si>
    <t>Жилой дом с офисн.помещ.  по ул.Фомина, 9</t>
  </si>
  <si>
    <t>ТМ-400       2 шт.</t>
  </si>
  <si>
    <t xml:space="preserve">АСБ-10     АСБ-1  </t>
  </si>
  <si>
    <t>0,45       0,2</t>
  </si>
  <si>
    <t>2.1.9.</t>
  </si>
  <si>
    <t>17-ти этажный 112 кв. жилой дом   по ул.Металлургов-Московское шоссе</t>
  </si>
  <si>
    <t xml:space="preserve">АСБ-1    </t>
  </si>
  <si>
    <t>2.1.10.</t>
  </si>
  <si>
    <t>45 кв. жилой дом по ул.Грузовая, 3Б - 3 очередь</t>
  </si>
  <si>
    <t>2.1.11.</t>
  </si>
  <si>
    <t>Строительство бани  с.Знаменское,  ул.Горького</t>
  </si>
  <si>
    <t>СИП 2А</t>
  </si>
  <si>
    <t>2.1.12.</t>
  </si>
  <si>
    <t>Московское шоссе (наружное освещение)</t>
  </si>
  <si>
    <t>АСБ-1    СИП 2А</t>
  </si>
  <si>
    <t>0,12     10</t>
  </si>
  <si>
    <t>Жилой микрор-он в р-не "Казначеевского сада" (298 объектов)  г.Ливны</t>
  </si>
  <si>
    <t>ТМ-400          ТМ-250</t>
  </si>
  <si>
    <t>СИП 3    СИП 2А</t>
  </si>
  <si>
    <t>1,5              4,0</t>
  </si>
  <si>
    <t>2.1.13.</t>
  </si>
  <si>
    <t>Пристройка к центр.район.больнице ЦРБ по ул.Дружбы Народов г.Ливны</t>
  </si>
  <si>
    <t>ТМГ-250  2 шт.</t>
  </si>
  <si>
    <t>СИП 3    АСБ-1</t>
  </si>
  <si>
    <t>1,8              0,4</t>
  </si>
  <si>
    <t>2.1.14.</t>
  </si>
  <si>
    <t>Жилой микрорайон вблизи д.Кромской Мост - малоэтажная</t>
  </si>
  <si>
    <t>ТМ-250      1 шт.</t>
  </si>
  <si>
    <t>0,75              1,5</t>
  </si>
  <si>
    <t>2.1.15.</t>
  </si>
  <si>
    <t>Центральная районная больница  п.Змиевка</t>
  </si>
  <si>
    <t>АСБ-1     СИП 3</t>
  </si>
  <si>
    <t>0,67              0,75</t>
  </si>
  <si>
    <t>2.1.16.</t>
  </si>
  <si>
    <t>Жилой микрорайон - малоэтажная застройка  г.Малоархангельск</t>
  </si>
  <si>
    <t>ТМ-100      1 шт.</t>
  </si>
  <si>
    <t>0,6              0,5</t>
  </si>
  <si>
    <t>2.1.17.</t>
  </si>
  <si>
    <t>Участок малоэтажной застройки №1 п.Глазуновка, параллельно ул.8-го Марта</t>
  </si>
  <si>
    <t>0,3              0,7</t>
  </si>
  <si>
    <t>2.1.18.</t>
  </si>
  <si>
    <t>5 этаж.  60 кв. жилой дом  п.Верховье ул.Чапаева, 2</t>
  </si>
  <si>
    <t>0,6              0,4</t>
  </si>
  <si>
    <t>2.1.19.</t>
  </si>
  <si>
    <t>Детский сад на 150 мест п.Верховье, ул.Бондаренко, 14</t>
  </si>
  <si>
    <t>ТМ-160      1 шт.</t>
  </si>
  <si>
    <t>0,3              0,2</t>
  </si>
  <si>
    <t>2.1.20.</t>
  </si>
  <si>
    <t xml:space="preserve">56 жилых домов в п.Хомутово </t>
  </si>
  <si>
    <t>0,6              2,0</t>
  </si>
  <si>
    <t>2.1.21.</t>
  </si>
  <si>
    <t>Котельная д/с «Солнышко»                   п.Залегощь ул.7-го Ноября</t>
  </si>
  <si>
    <t>2.2.</t>
  </si>
  <si>
    <t>Прочее новое строительство</t>
  </si>
  <si>
    <t>2.2.1</t>
  </si>
  <si>
    <t>Монтаж и наладка первичных приборов учета на вводах 0,4 кВ в ТП-743</t>
  </si>
  <si>
    <t>Монтаж и наладка первичных приборов учета на вводах  0,4 кВ  в ТП-744</t>
  </si>
  <si>
    <t>Монтаж и наладка первичных приборов учета на вводах  0,4 кВ  в КТП-745  *</t>
  </si>
  <si>
    <t>Монтаж и наладка первичных приборов учета на вводах  0,4 кВ  в КТП-747  *</t>
  </si>
  <si>
    <t>Монтаж и наладка первичных приборов учета на вводах  0,4 кВ  в ТП-748</t>
  </si>
  <si>
    <t>Монтаж и наладка первичных приборов учета на вводах  0,4 кВ  в ТП-767    *</t>
  </si>
  <si>
    <t>Монтаж и наладка первичных приборов учета на вводах  0,4 кВ  в КТП-770  *</t>
  </si>
  <si>
    <t>Монтаж и наладка первичных приборов учета на вводах  0,4 кВ  в ТП-801</t>
  </si>
  <si>
    <t>Монтаж и наладка первичных приборов учета на вводах  0,4 кВ  в ТП-802</t>
  </si>
  <si>
    <t>Монтаж и наладка первичных приборов учета на вводах  0,4 кВ  в ТП-803</t>
  </si>
  <si>
    <t>Монтаж и наладка первичных приборов учета на вводах  0,4 кВ  в ТП-804</t>
  </si>
  <si>
    <t>Монтаж и наладка первичных приборов учета на вводах  0,4 кВ  в ТП-805</t>
  </si>
  <si>
    <t>Монтаж и наладка первичных приборов учета на вводах  0,4 кВ  в ТП-808</t>
  </si>
  <si>
    <t>Монтаж и наладка первичных приборов учета на вводах  0,4 кВ  в ТП-809 *</t>
  </si>
  <si>
    <t>Монтаж и наладка первичных приборов учета на вводах  0,4 кВ  в ТП-811</t>
  </si>
  <si>
    <t>Монтаж и наладка первичных приборов учета на вводах  0,4 кВ  в ТП-813</t>
  </si>
  <si>
    <t>Монтаж и наладка первичных приборов учета на вводах  0,4 кВ  в ТП-840</t>
  </si>
  <si>
    <t>Монтаж и наладка первичных приборов учета на вводах  0,4 кВ  в ТП-841</t>
  </si>
  <si>
    <t>Монтаж и наладка первичных приборов учета на вводах  0,4 кВ  в ТП-842</t>
  </si>
  <si>
    <t>Монтаж и наладка первичных приборов учета на вводах  0,4 кВ  в ТП-861-н</t>
  </si>
  <si>
    <t>Монтаж и наладка первичных приборов учета на вводах  0,4 кВ  в ТП-871</t>
  </si>
  <si>
    <t>Монтаж и наладка первичных приборов учета на вводах  0,4 кВ  в ТП-881  *</t>
  </si>
  <si>
    <t>Монтаж и наладка первичных приборов учета на вводах  0,4 кВ  в ТП-601</t>
  </si>
  <si>
    <t>Монтаж и наладка первичных приборов учета на вводах  0,4 кВ  в КТП-606 *</t>
  </si>
  <si>
    <t xml:space="preserve">Монтаж и наладка первичных приборов учета на вводах  0,4 кВ  в ТП-609 </t>
  </si>
  <si>
    <t>Монтаж и наладка первичных приборов учета на вводах  0,4 кВ  в РП-10</t>
  </si>
  <si>
    <t>Монтаж и наладка первичных приборов учета на вводах  0,4 кВ  в РП-24 *</t>
  </si>
  <si>
    <t>итого</t>
  </si>
  <si>
    <t>2.2.2</t>
  </si>
  <si>
    <t>Монтаж и наладка первичных приборов учета на вводах  0,4 кВ  в ТП-2</t>
  </si>
  <si>
    <t>Монтаж и наладка первичных приборов учета на вводах  0,4 кВ  в ТП-4</t>
  </si>
  <si>
    <t>2.2.3.</t>
  </si>
  <si>
    <t>2.2.3.1</t>
  </si>
  <si>
    <t>г. Ливны</t>
  </si>
  <si>
    <t xml:space="preserve">Монтаж и наладка первичных приборов учета на вводах  0,4 кВ  в ТП-1 </t>
  </si>
  <si>
    <t xml:space="preserve">Монтаж и наладка первичных приборов учета на вводах  0,4 кВ  в ТП-2 </t>
  </si>
  <si>
    <t>Монтаж и наладка первичных приборов учета на вводах  0,4 кВ  в ТП-3 *</t>
  </si>
  <si>
    <t>Монтаж и наладка первичных приборов учета на вводах  0,4 кВ  в ТП-4  *</t>
  </si>
  <si>
    <t>Монтаж и наладка первичных приборов учета на вводах  0,4 кВ  в ТП-5  *</t>
  </si>
  <si>
    <t>Монтаж и наладка первичных приборов учета на вводах  0,4 кВ  в ТП-6 *</t>
  </si>
  <si>
    <t>Монтаж и наладка первичных приборов учета на вводах  0,4 кВ  в ТП-7</t>
  </si>
  <si>
    <t>Монтаж и наладка первичных приборов учета на вводах  0,4 кВ  в ТП-8 *</t>
  </si>
  <si>
    <t>Монтаж и наладка первичных приборов учета на вводах  0,4 кВ  в ТП-9</t>
  </si>
  <si>
    <t>Монтаж и наладка первичных приборов учета на вводах 0,4 кВ в ЦРП *</t>
  </si>
  <si>
    <t>Монтаж и наладка первичных приборов учета на вводах  0,4 кВ  в ТП-33 *</t>
  </si>
  <si>
    <t>Монтаж и наладка первичных приборов учета на вводах  0,4 кВ  в ТП-35 *</t>
  </si>
  <si>
    <t>Монтаж и наладка первичных приборов учета на вводах 0,4 кВ в КТП-108 *</t>
  </si>
  <si>
    <t>Монтаж и наладка первичных приборов учета на вводах 0,4 кВ в КТП-118 *</t>
  </si>
  <si>
    <t>Монтаж и наладка первичных приборов учета на вводах 0,4 кВ в КТП-151 *</t>
  </si>
  <si>
    <t>Монтаж и наладка первичных приборов учета на вводах 0,4 кВ в КТП-160 *</t>
  </si>
  <si>
    <t>Монтаж и наладка первичных приборов учета на вводах 0,4 кВ в ГКТП-153 *</t>
  </si>
  <si>
    <t>Монтаж и наладка первичных приборов учета на вводах 0,4 кВ в КТП-161 *</t>
  </si>
  <si>
    <t>Монтаж и наладка первичных приборов учета на вводах 0,4 кВ в КТП-162 *</t>
  </si>
  <si>
    <t>Монтаж и наладка первичных приборов учета на вводах  0,4 кВ  в ТП-25 *</t>
  </si>
  <si>
    <t>Монтаж и наладка первичных приборов учета на вводах  0,4 кВ  в ТП-26 *</t>
  </si>
  <si>
    <t>Монтаж и наладка первичных приборов учета на вводах  0,4 кВ  в ТП-28 *</t>
  </si>
  <si>
    <t>Монтаж и наладка первичных приборов учета на вводах  0,4 кВ  в ТП-16 *</t>
  </si>
  <si>
    <t>Монтаж и наладка первичных приборов учета на вводах  0,4 кВ  в ТП-17 *</t>
  </si>
  <si>
    <t>2.2.4</t>
  </si>
  <si>
    <t>2.2.4.1.</t>
  </si>
  <si>
    <t>п. Змиевка</t>
  </si>
  <si>
    <t>Монтаж и наладка первичных приборов учета на вводах  0,4 кВ  в ТП-2 *</t>
  </si>
  <si>
    <t>Монтаж и наладка первичных приборов учета на вводах  0,4 кВ  в ТП-3</t>
  </si>
  <si>
    <t>Монтаж и наладка первичных приборов учета на вводах  0,4 кВ  в ТП-4 *</t>
  </si>
  <si>
    <t>2.2.5</t>
  </si>
  <si>
    <t>Залегощенкий МФ</t>
  </si>
  <si>
    <t>2.2.5.1</t>
  </si>
  <si>
    <t>п. Залегощь</t>
  </si>
  <si>
    <t>Монтаж и наладка первичных приборов учета на вводах  0,4 кВ  в ЗТП-1 *</t>
  </si>
  <si>
    <t xml:space="preserve">Монтаж и наладка первичных приборов учета на вводах  0,4 кВ  в ЗТП-2 </t>
  </si>
  <si>
    <t>Монтаж и наладка первичных приборов учета на вводах  0,4 кВ  в ЗТП-4</t>
  </si>
  <si>
    <t>в том числе ПТП</t>
  </si>
  <si>
    <t>Справочно:</t>
  </si>
  <si>
    <t>Оплата процентов за привлеченные кредитные ресурсы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</si>
  <si>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</si>
  <si>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(с НДС)</t>
  </si>
  <si>
    <t>Отчет об источниках финансирования инвестиционных программ за 2011  год, тыс. рублей  без НДС
(представляется ежегодно)</t>
  </si>
  <si>
    <t>Утверждаю</t>
  </si>
  <si>
    <t>Вр.и.о. генерального директора</t>
  </si>
  <si>
    <t>ОАО «Орелоблэнерго»</t>
  </si>
  <si>
    <t>______________В.А. Тимохин</t>
  </si>
  <si>
    <t>(подпись)</t>
  </si>
  <si>
    <t>«____»__________ 2012 года</t>
  </si>
  <si>
    <t>М.П.</t>
  </si>
  <si>
    <t>Источник финансирования</t>
  </si>
  <si>
    <t>Объем финансирования
 [отчетный год]</t>
  </si>
  <si>
    <t>Причины отклонений</t>
  </si>
  <si>
    <t>План 2011 г.</t>
  </si>
  <si>
    <t>Факт 2011 г.</t>
  </si>
  <si>
    <t>Собственные средства</t>
  </si>
  <si>
    <t>Прибыль, направляемая на инвестиции:</t>
  </si>
  <si>
    <t>в т.ч. инвестиционная составляющая в тарифе</t>
  </si>
  <si>
    <t>1.1.2.</t>
  </si>
  <si>
    <t xml:space="preserve">в т.ч. прибыль со свободного сектора 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</si>
  <si>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</si>
  <si>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</si>
  <si>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</si>
  <si>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</si>
  <si>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</si>
  <si>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</si>
  <si>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</si>
  <si>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</si>
  <si>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</si>
  <si>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</si>
  <si>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</si>
  <si>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</si>
  <si>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</si>
  <si>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Возврат НДС</t>
  </si>
  <si>
    <t>1.4.</t>
  </si>
  <si>
    <t>Прочие собственные средства</t>
  </si>
  <si>
    <t xml:space="preserve">1.4.1. </t>
  </si>
  <si>
    <t>в т.ч. средства допэмиссии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</si>
  <si>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</si>
  <si>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</si>
  <si>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</si>
  <si>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</si>
  <si>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</si>
  <si>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</si>
  <si>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</si>
  <si>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</si>
  <si>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</si>
  <si>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</si>
  <si>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</si>
  <si>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</si>
  <si>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</si>
  <si>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</si>
  <si>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</si>
  <si>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</si>
  <si>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</si>
  <si>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</si>
  <si>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</t>
  </si>
  <si>
    <t>** накопленным итогом за год</t>
  </si>
  <si>
    <t>Помощник генерального директора по ФЭВ                                                                      Т.Г. Парамонова</t>
  </si>
  <si>
    <t xml:space="preserve">Отчет об исполнении инвестиционной программы  ОАО "Орелоблэнерго" , тыс. рублей без НДС
за 2011 год </t>
  </si>
  <si>
    <t>Вр.и.о. Генерального директора</t>
  </si>
  <si>
    <t>Наименование объекта</t>
  </si>
  <si>
    <t xml:space="preserve">Остаток стоимости на начало года * </t>
  </si>
  <si>
    <t>Объем финансирования
 [отчетный год], тыс. руб.</t>
  </si>
  <si>
    <t>Освоено 
(закрыто актами 
выполненных работ)
тыс.рублей</t>
  </si>
  <si>
    <t>Введено оформлено актами ввода в эксплуатацию)
тыс.рублей</t>
  </si>
  <si>
    <t>Осталось профинансировать по результатам отчетного периода *</t>
  </si>
  <si>
    <t>Отклонение ***</t>
  </si>
  <si>
    <t>всего</t>
  </si>
  <si>
    <t>1 кв</t>
  </si>
  <si>
    <t>2 кв</t>
  </si>
  <si>
    <t>3 кв</t>
  </si>
  <si>
    <t>4 кв</t>
  </si>
  <si>
    <t>тыс.руб.</t>
  </si>
  <si>
    <t>%</t>
  </si>
  <si>
    <t>в том числе за счет</t>
  </si>
  <si>
    <t>план**</t>
  </si>
  <si>
    <t>факт***</t>
  </si>
  <si>
    <t>план</t>
  </si>
  <si>
    <t>факт</t>
  </si>
  <si>
    <t>за отчетный 
квартал</t>
  </si>
  <si>
    <t>за отчетный квартал</t>
  </si>
  <si>
    <t>уточнения стоимости по результатам утвержденной ПСД</t>
  </si>
  <si>
    <t>уточнения стоимости по результатм закупочных процедур</t>
  </si>
  <si>
    <t>ВСЕГО, в том числе</t>
  </si>
  <si>
    <t>по техприсоединению</t>
  </si>
  <si>
    <t>по передаче э\энергии</t>
  </si>
  <si>
    <t>1.</t>
  </si>
  <si>
    <t>1</t>
  </si>
  <si>
    <t xml:space="preserve">Торговый комплекс по ул. 3-я Курская </t>
  </si>
  <si>
    <t>Обращение Заявителя</t>
  </si>
  <si>
    <t>2</t>
  </si>
  <si>
    <t>Электросетевое хоз-во жилых домов в МР №6</t>
  </si>
  <si>
    <t>Плата по индивидуальному проекту</t>
  </si>
  <si>
    <t>3</t>
  </si>
  <si>
    <t>Офисный центр по ул. Ленина, 15а</t>
  </si>
  <si>
    <t>4</t>
  </si>
  <si>
    <t>Нежилое помещение по ул. Горького, 47б</t>
  </si>
  <si>
    <t>5</t>
  </si>
  <si>
    <t>Торговый павильон по Московскому шоссе, 111</t>
  </si>
  <si>
    <t>6</t>
  </si>
  <si>
    <t>Жилой дом пер.Культурный, 34</t>
  </si>
  <si>
    <t>7</t>
  </si>
  <si>
    <t>Нежилое помещение по ул.Машкарина, 3А (ул.Саханская)</t>
  </si>
  <si>
    <t>8</t>
  </si>
  <si>
    <t>Нежилое помещение по ул. 1-ая Курская, 67</t>
  </si>
  <si>
    <t>9</t>
  </si>
  <si>
    <t>Складские помещения ул.Новосильская, 5</t>
  </si>
  <si>
    <t>10</t>
  </si>
  <si>
    <t>Торговы павильон , г.Ливны, ул.Мира, 203</t>
  </si>
  <si>
    <t>11</t>
  </si>
  <si>
    <t>Магазин г.Ливны,  ул.Горького, 28</t>
  </si>
  <si>
    <t>12</t>
  </si>
  <si>
    <t>Магазин г.Ливны,  ул.Мира, 197А</t>
  </si>
  <si>
    <t>13</t>
  </si>
  <si>
    <t>Административ.здание, г.Ливны, ул.Чкалова, 52Д</t>
  </si>
  <si>
    <t>14</t>
  </si>
  <si>
    <t>Нежилое помещение  по ул. 1-ая Курская, 83</t>
  </si>
  <si>
    <t>Плата по индивидуальному пректу</t>
  </si>
  <si>
    <t>15</t>
  </si>
  <si>
    <t>Автомойка по ул.Гагарина, 93</t>
  </si>
  <si>
    <t>16</t>
  </si>
  <si>
    <t>Жилой дом ул.Новая,24 -ул.Осипенко</t>
  </si>
  <si>
    <t>17</t>
  </si>
  <si>
    <t xml:space="preserve">Ангар  г.Ливны,  ул..Селитренникова, 5А </t>
  </si>
  <si>
    <t>18</t>
  </si>
  <si>
    <t>Павильон г.Ливны, ул.Гайдара, 1Б</t>
  </si>
  <si>
    <t>19</t>
  </si>
  <si>
    <t>Нежилое помещение  п.Колпна, ул.Комсомольская, 2</t>
  </si>
  <si>
    <t>20</t>
  </si>
  <si>
    <t>Центр.рынок, ул.Черкасская, 13</t>
  </si>
  <si>
    <t>21</t>
  </si>
  <si>
    <t>Торговый центр, ул.Комсомольская, 78</t>
  </si>
  <si>
    <t>22</t>
  </si>
  <si>
    <t>Жилой дом,  ул.Михалицина, 72</t>
  </si>
  <si>
    <t>23</t>
  </si>
  <si>
    <t>Жилой дом   ул. Благининой, 34</t>
  </si>
  <si>
    <t>24</t>
  </si>
  <si>
    <t>Нежилое помещение по  ул.Тургенева, 45</t>
  </si>
  <si>
    <t>25</t>
  </si>
  <si>
    <t>Нежилое здание, набер.Дубровинского, 60</t>
  </si>
  <si>
    <t>26</t>
  </si>
  <si>
    <t>Магазин, ул.Комсомольская, 53</t>
  </si>
  <si>
    <t>27</t>
  </si>
  <si>
    <t>Магазин , ул.Латышских стрел., 1</t>
  </si>
  <si>
    <t>28</t>
  </si>
  <si>
    <t>Торговы павильон, ул.Комсомольская, 354</t>
  </si>
  <si>
    <t>29</t>
  </si>
  <si>
    <t>Магазин, ул.Приборостроительная,48</t>
  </si>
  <si>
    <t>30</t>
  </si>
  <si>
    <t>Нежилое помещение, ул.Комсомольская, 65А</t>
  </si>
  <si>
    <t>31</t>
  </si>
  <si>
    <t>Нежилое помещение,   ул.Октябрьская, 65</t>
  </si>
  <si>
    <t>32</t>
  </si>
  <si>
    <t>Спортивнооздоровит.комплекс, ул.Веселая, 2г</t>
  </si>
  <si>
    <t>33</t>
  </si>
  <si>
    <t>Торговый центр,   ул.Пушкина, 4</t>
  </si>
  <si>
    <t>34</t>
  </si>
  <si>
    <t>Здание, п.Нарышкино,       ул.Ленина, 121</t>
  </si>
  <si>
    <t>35</t>
  </si>
  <si>
    <t>Жилой дом   г.Ливны, ул. Муравская, 35</t>
  </si>
  <si>
    <t>36</t>
  </si>
  <si>
    <t>Стройплощадка жилого дома           г.Ливны, ул.Жилевского, 33</t>
  </si>
  <si>
    <t>37</t>
  </si>
  <si>
    <t>Жилой дом,   г.Ливны,    ул.Леонова, 68</t>
  </si>
  <si>
    <t>38</t>
  </si>
  <si>
    <t>Жилой дом,   г.Ливны,    ул.Совхозная, 3</t>
  </si>
  <si>
    <t>39</t>
  </si>
  <si>
    <t>Детское кафе                                  г.Ливны,  ул.Октябрьская, 11Б</t>
  </si>
  <si>
    <t>40</t>
  </si>
  <si>
    <t>Торговый павильон ул.Тургенева, 35</t>
  </si>
  <si>
    <t>41</t>
  </si>
  <si>
    <t>Торговый павильон ул.Комсомольская, 382</t>
  </si>
  <si>
    <t>42</t>
  </si>
  <si>
    <t>Стройплощ.ж/дома ул.6-ой Орловской дивизии, 11Г</t>
  </si>
  <si>
    <t>43</t>
  </si>
  <si>
    <t>Жилой дом,  ул. Воинская, 11</t>
  </si>
  <si>
    <t>44</t>
  </si>
  <si>
    <t>Жилой дом,  ул.Афонина, 16</t>
  </si>
  <si>
    <t>45</t>
  </si>
  <si>
    <t>Жилой дом, г.Ливны, ул.Крестьянская, 2</t>
  </si>
  <si>
    <t>46</t>
  </si>
  <si>
    <t>Жилой дом, г.Ливны, р-он Пушкарка</t>
  </si>
  <si>
    <t>47</t>
  </si>
  <si>
    <t>Жилой дом, г.Ливны, ул.Ямская, 83</t>
  </si>
  <si>
    <t>48</t>
  </si>
  <si>
    <t>Базов.станция сотовой связи,  г.Ливны, ул.Кирова, 22</t>
  </si>
  <si>
    <t>49</t>
  </si>
  <si>
    <t>Нежилое помещение г.Ливны, ул.Воронежская, 26</t>
  </si>
  <si>
    <t>50</t>
  </si>
  <si>
    <t>ТП г.Ливны, ул.Орджоникидзе</t>
  </si>
  <si>
    <t>51</t>
  </si>
  <si>
    <t>Автомастерская, п.Змиевка, ул.Кирова,42</t>
  </si>
  <si>
    <t>52</t>
  </si>
  <si>
    <t>Шиномонтаж, с.Тросна, ул.Лебедева</t>
  </si>
  <si>
    <t>53</t>
  </si>
  <si>
    <t>Кофейня, ул.Ленина 32-34</t>
  </si>
  <si>
    <t>54</t>
  </si>
  <si>
    <t>Жилой дом, г.Ливны, пер.Гражданский, 10</t>
  </si>
  <si>
    <t>55</t>
  </si>
  <si>
    <t>Жилой дом, г.Ливны, ул.Георгиевская, 11</t>
  </si>
  <si>
    <t>56</t>
  </si>
  <si>
    <t>Магазин , г.Ливны, ул.Горького, 2</t>
  </si>
  <si>
    <t>57</t>
  </si>
  <si>
    <t>Часть жилого дома, г.Ливны,             ул.Садовая</t>
  </si>
  <si>
    <t>58</t>
  </si>
  <si>
    <t xml:space="preserve">Жилой дом  , п.Колпна, ул.Советская </t>
  </si>
  <si>
    <t>59</t>
  </si>
  <si>
    <t>Здание училища , г.Малоархангельск,  ул.Калинина</t>
  </si>
  <si>
    <t>60</t>
  </si>
  <si>
    <t>Жилой дом,   г.Болхов,  ул.Машиностроительная, 35</t>
  </si>
  <si>
    <t>61</t>
  </si>
  <si>
    <t>Светофор  Наугорское шос.</t>
  </si>
  <si>
    <t>62</t>
  </si>
  <si>
    <t>Часть здания, ул.Гагарина, 18А</t>
  </si>
  <si>
    <t>63</t>
  </si>
  <si>
    <t>АЗС, Московское шоссе, 175</t>
  </si>
  <si>
    <t xml:space="preserve"> В РП-1 на ОЛ-1,ОЛ-3,ОЛ-4, ОЛ-6</t>
  </si>
  <si>
    <t>Уменьшение стоимости работ</t>
  </si>
  <si>
    <t>увеличение стоимости оборудования</t>
  </si>
  <si>
    <t xml:space="preserve"> В РП-8 на ОЛ-80</t>
  </si>
  <si>
    <t xml:space="preserve"> В РП-8 на ОЛ-83</t>
  </si>
  <si>
    <t xml:space="preserve"> В РП-22 на ОЛ-2215</t>
  </si>
  <si>
    <t>г.Ливны</t>
  </si>
  <si>
    <t>В ТП-37 ПЛ 1;ТП-57 ПЛ 25</t>
  </si>
  <si>
    <t>ТП-156  ПЛ-23; ТП-164 ПЛ-45</t>
  </si>
  <si>
    <t>Реконструкция кабельных линий электроснабжения в сетях 0,4/6/10кВ</t>
  </si>
  <si>
    <t>Замена КЛ-0,4кВ от ТП-3 до ВРУ Бульвар Победы,7</t>
  </si>
  <si>
    <t>Замена КЛ-0,4кВ от ТП-85до ВРУ ул.Антонова,5</t>
  </si>
  <si>
    <t>Замена КЛ-0,4кВ от ТП-351до ВРУ ул.Комсомольской,78</t>
  </si>
  <si>
    <t>Замена КЛ-0,4кВ от ТП-701до ВРУ ул.СТ. Разина, 14</t>
  </si>
  <si>
    <t>Монтаж КЛ-0,4кВ от ТП-701до ВРУ ул.СТ. Разина,12</t>
  </si>
  <si>
    <t>Монтаж КЛ-0,4кВ от ТП-129до ВРУ ул.Пионерская, 6</t>
  </si>
  <si>
    <t>увеличение стоимости проектных работ</t>
  </si>
  <si>
    <t>Объекты  электроснабжения  п.Лужки</t>
  </si>
  <si>
    <t xml:space="preserve">Замена КЛ-6кВ от ТП-854 до ТП-852 </t>
  </si>
  <si>
    <t>Замена КЛ-0,4кВ от ТП-670  вывод на ВЛ ул. Деповская</t>
  </si>
  <si>
    <t>Включение в план по технической необходимости</t>
  </si>
  <si>
    <t>Прокладка эл. кабеля 10кВ от п/ст «Болховская» ф 9</t>
  </si>
  <si>
    <t>Изменение технического решения</t>
  </si>
  <si>
    <t>Прокладка эл. кабеля 10кВ от п/ст «Болховская» ф 10</t>
  </si>
  <si>
    <t>Ливенский участок</t>
  </si>
  <si>
    <t>Замена КЛ-6кВ от п/ст «Черкасская» до ТП-122 в г.Ливны</t>
  </si>
  <si>
    <t>Замена КЛ-6кВ от ТП-104 до ТП-29 в г.Ливны</t>
  </si>
  <si>
    <t xml:space="preserve">Монтаж СИП 2А от ТП-718 по ул.Пушкина </t>
  </si>
  <si>
    <t>Монтаж СИП 2А от ТП-704 по ул.Московская</t>
  </si>
  <si>
    <t>Монтаж СИП 2А от ТП-625 по ул.Магазинная</t>
  </si>
  <si>
    <t>Монтаж СИП 2А от ТП-670 по ул.Шульгина</t>
  </si>
  <si>
    <t>Монтаж СИП 2А от РП 25 по ул.Костомаровская</t>
  </si>
  <si>
    <t>Монтаж СИП 2А от ТП 805 по     ул.Бурова</t>
  </si>
  <si>
    <t>Монтаж СИП 2А от ТП 743 по     ул.пос.Кирпичного з-да</t>
  </si>
  <si>
    <t>Монтаж СИП 2А от ТП 854 по     ул.Молодежная</t>
  </si>
  <si>
    <t>Монтаж СИП 2А от ТП 420 по     пер. Карачевскому</t>
  </si>
  <si>
    <t>Монтаж СИП 2А от ТП 646 по     пер. Левоовражному</t>
  </si>
  <si>
    <t>Уточнение стоимости по результатам утвержденной ПСД</t>
  </si>
  <si>
    <t>Монтаж СИП 2А от ТП 650 по ул.Пушкина и пер. Мало-Новосильскому</t>
  </si>
  <si>
    <t>Монтаж СИП 2А от КТП  по пер. Луж-ковскому, Ковыльному, ул.Дружбы и Лужковской</t>
  </si>
  <si>
    <t>Монтаж СИП 2А от ТП 606 по    ул. 4-ая Курская, пер. Речной, ул. Русанова, ул. Фомина</t>
  </si>
  <si>
    <t>Монтаж СИП 2А от РП-1 по ул.Тургенева</t>
  </si>
  <si>
    <t>Монтаж СИП 2А от ТП-11 по ул.Свердлова</t>
  </si>
  <si>
    <t>Монтаж СИП 2А от ТП-33 по ул.Садовой</t>
  </si>
  <si>
    <t>Монтаж СИП 2А от ТП-27 по ул.Ленинская гора</t>
  </si>
  <si>
    <t>Монтаж СИП 2А от ТП-15 по ул.8-е Марта</t>
  </si>
  <si>
    <t>Монтаж СИП 2А от ТП-30 по ул.Декабристов</t>
  </si>
  <si>
    <t>Монтаж СИП 2А от ТП-2 по ул.Ленина</t>
  </si>
  <si>
    <t>Монтаж СИП 2А от ТП-7 по ул.Кирова</t>
  </si>
  <si>
    <t>Монтаж СИП 2А от ТП-105 по пер. Московскому</t>
  </si>
  <si>
    <t>Монтаж СИП 2А от ТП-6 по ул. Элеваторной</t>
  </si>
  <si>
    <t>Монтаж СИП 3А от ГКТПН-1000/6/0,4кВ до ЦРП</t>
  </si>
  <si>
    <t>Монтаж СИП 2А от ТП-39 по ул. Челпа-нова, 1-ому пер.Челпанова в г. Ливны</t>
  </si>
  <si>
    <t>Монтаж СИП 2А от ТП-110 по ул.8-е Марта, ул.Северной,ул.Победы Ф№7</t>
  </si>
  <si>
    <t>Монтаж СИП 2А от ТП-39 по ул.Лермонтова</t>
  </si>
  <si>
    <t>Монтаж СИП 2А от ТП-110 ф№10  по ул.Победы</t>
  </si>
  <si>
    <t>Хомутовский участок</t>
  </si>
  <si>
    <t xml:space="preserve">Монтаж СИП 2А от ТП-17 по ул.Коопе-ративной и пер. Кооперативному  </t>
  </si>
  <si>
    <t>Монтаж СИП 2А от ТП-9 по ул.Октябрьской и Строительной</t>
  </si>
  <si>
    <t>уменьшение стоимости проектных работ</t>
  </si>
  <si>
    <t>Замена КТП -21(63 ква) по ул.Октябрьской</t>
  </si>
  <si>
    <t>Русско-Бродский участок</t>
  </si>
  <si>
    <t xml:space="preserve">Монтаж СИП 2А от ТП-6 по пер. Речному  </t>
  </si>
  <si>
    <t>Верховский участок</t>
  </si>
  <si>
    <t xml:space="preserve">Монтаж СИП 2А от ТП-14 по ул.Чернышова </t>
  </si>
  <si>
    <t>Монтаж СИП 2А от ТП-5 по ул.Советской</t>
  </si>
  <si>
    <t>Малоархангельский участок</t>
  </si>
  <si>
    <t>Монтаж СИП 2А от ТП-2 по ул.Советской</t>
  </si>
  <si>
    <t>Змиевсий участок</t>
  </si>
  <si>
    <t xml:space="preserve">Монтаж СИП 2А от ТП-3 по ул.Котовского </t>
  </si>
  <si>
    <t>Покровский участок</t>
  </si>
  <si>
    <t>Монтаж СИП 2А от ТП-8 по ул.Фета</t>
  </si>
  <si>
    <t>Глазуновский участок</t>
  </si>
  <si>
    <t>Монтаж СИП 2А от ГКТП-3 по ул.Садовой</t>
  </si>
  <si>
    <t xml:space="preserve">Монтаж СИП 2А от ТП-1 по ул.Луговая, </t>
  </si>
  <si>
    <t>Нарышкинский участок</t>
  </si>
  <si>
    <t>Монтаж СИП 2А от ТП-15 по ул.Урицкого</t>
  </si>
  <si>
    <t>Монтаж СИП 2А от ТП-13 Ф№3 по ул.Ленина</t>
  </si>
  <si>
    <t>Монтаж провода АС-50 фидер №5</t>
  </si>
  <si>
    <t>Монтаж СИП 2А от ТП-13 Ф№2 по ул.Ленина</t>
  </si>
  <si>
    <t xml:space="preserve">Монтаж СИП 2А от ТП-15 по ул. Ленина — ул.Артема </t>
  </si>
  <si>
    <t>Шаблыкинский участок</t>
  </si>
  <si>
    <t>Монтаж СИП 2А от ТП-5 по ул.Горького</t>
  </si>
  <si>
    <t xml:space="preserve">Монтаж СИП 2А от ТП-9  по ул.Советская </t>
  </si>
  <si>
    <t>Хотынецкий участок</t>
  </si>
  <si>
    <t>Подключение резервного питания ВЛ-10 кВ фидер № 10</t>
  </si>
  <si>
    <t>Монтаж СИП 2А от ТП-1 по ул. Совет-ской, ул. Пушкина</t>
  </si>
  <si>
    <t xml:space="preserve">Монтаж СИП 3А Ф№10 от п/ст «Хотынец» до проектируемой ТП по ул.Бадаева </t>
  </si>
  <si>
    <t>Сосковский участок</t>
  </si>
  <si>
    <t>Монтаж СИП 2А от ТП-4 по ул. Заречной</t>
  </si>
  <si>
    <t>Моховской участок</t>
  </si>
  <si>
    <t xml:space="preserve">Монтаж СИП 2А от ТП-4 по ул.Первомайской,  в с.Моховое </t>
  </si>
  <si>
    <t>Монтаж СИП 2А от ТП-4 по ул.Молодежной и Первомайской  в с. Моховое</t>
  </si>
  <si>
    <t>Корсаковский участок</t>
  </si>
  <si>
    <t>Монтаж СИП 2А от ТП-4 м-н Березовый  в с.Корсаково</t>
  </si>
  <si>
    <t>Новосильский участок</t>
  </si>
  <si>
    <t>Монтаж СИП 2А от ТП-12 по ул.Лесной  в г.Новосиле</t>
  </si>
  <si>
    <t xml:space="preserve">Монтаж СИП 2А от ТП-2 по ул.Воло-дарского, Октябрьской в г.Новосиле </t>
  </si>
  <si>
    <t>Монтаж СИП 2А от ТП-13 Лесничество</t>
  </si>
  <si>
    <t>Монтаж СИП 2А от ТП-3 по ул.Гагарина в пос.Залегощь</t>
  </si>
  <si>
    <t>Залегощенский участок</t>
  </si>
  <si>
    <t>Монтаж СИП 2А от ТП-29 по ул. 7-е Ноября</t>
  </si>
  <si>
    <t>Дмитровский участок</t>
  </si>
  <si>
    <t>Монтаж СИП 2А от ТП-6 по ул.Интернациональной, Коллективной в г.Дмитровске</t>
  </si>
  <si>
    <t>Монтаж СИП 2А от ТП-6 по  Интернациональной в г.Дмитровске</t>
  </si>
  <si>
    <t>Монтаж СИП 2А Парк культуры в г.Дмитровске</t>
  </si>
  <si>
    <t>Троснянский участок</t>
  </si>
  <si>
    <t xml:space="preserve">Монтаж СИП 2А от ТП-9 по ул. 70 лет Октября </t>
  </si>
  <si>
    <t>Кромской участок</t>
  </si>
  <si>
    <t>Монтаж СИП 3А от п/с «Кромская-110/35/10» Ф-12 в п. Кромы</t>
  </si>
  <si>
    <t xml:space="preserve">Монтаж СИП 2А от ТП-1 по ул.25 Октября </t>
  </si>
  <si>
    <t>Техперевооружение РП. Внедрение микропроцессорной релейной защиты и автоматики в РП</t>
  </si>
  <si>
    <t>Наладка релейной защиты с микропроцессорным устройством РС 83 А2 в РП - 6, на яч. ПЛ -510</t>
  </si>
  <si>
    <t>Наладка релейной защиты с микропроцессорным устройством РС 83 А2 в РП - 5, на яч. ПЛ -1Б,ПЛ-2</t>
  </si>
  <si>
    <t>Наладка релейной защиты с микропроцессорным устройством РС 83 А2 в РП - 23, на яч. ПЛ -3, ПЛ-22</t>
  </si>
  <si>
    <t>Наладка релейной защиты с микропроцессорным устройством РС 83 А2 в РП - 15, на яч. ПЛ -478, ПЛ-461</t>
  </si>
  <si>
    <t>Наладка релейной защиты с микропроцессорным устройством РС 83 А2 в РП - 1, на яч. ПЛ -107, ПЛ-801,ПЛ 103</t>
  </si>
  <si>
    <t>Наладка релейной защиты с микропроцессорным устройством РС 83 А2 в РП - 11, на яч. ПЛ -708,ПЛ -739</t>
  </si>
  <si>
    <t>Наладка релейной защиты с микропроцессорным устройством РС 83 А2 в РП - 10, на яч. ПЛ -00,ПЛ -24</t>
  </si>
  <si>
    <t>Наладка релейной защиты с микропроцессорным устройством РС 83 А2 в РП - 1, на яч.  ОЛ -3,ОЛ -4</t>
  </si>
  <si>
    <t>Наладка релейной защиты с микропроцессорным устройством РС 83 А2 в РП - 5, на яч. ОЛ -52</t>
  </si>
  <si>
    <t>Наладка релейной защиты с микропроцессорным устройством РС 83 А2 в РП - 24, на яч. ПЛ -02,ПЛ -25</t>
  </si>
  <si>
    <t>Наладка релейной защиты с микропроцессорным устройством РС 83 А2 в РП - 1, на яч. ОЛ -1</t>
  </si>
  <si>
    <t>Создание систем телемеханики и связи</t>
  </si>
  <si>
    <t>1.3.1.</t>
  </si>
  <si>
    <t>Учет по питающим центрам</t>
  </si>
  <si>
    <t>Автомат-инф. Изм система и АСКУЭ в расп.сет.6/10 кВ   в РП-9</t>
  </si>
  <si>
    <t>Автомат-инф. Изм система и АСКУЭ в расп.сет.6/10 кВ   в РП-23</t>
  </si>
  <si>
    <t>Автомат-инф. Изм система и АСКУЭ в расп.сет.6/10 кВ   в РП-2</t>
  </si>
  <si>
    <t>Сигнализация GSM охранная проводная в РУ-0,4 кВ и РУ-6/10 кВ ТП-142,168, 185,206,208,363,375,384,434,439,449,488,490,500,717</t>
  </si>
  <si>
    <t>Автомат-инф. Изм система и АСКУЭ в расп.сет.6/10 кВ   в РП-11</t>
  </si>
  <si>
    <t>Автомат-инф. Изм система и АСКУЭ в расп.сет.6/10 кВ   в РП-24</t>
  </si>
  <si>
    <t>1.3.2.</t>
  </si>
  <si>
    <t>Построение АСКУЭ  в распределительных сетях 0,4 кВ на вводах в ТП и ВРУ</t>
  </si>
  <si>
    <t>построение АСКУЭ в распред.сетях 0,4 кВ ТП813 на вводах и вводах в ж/д Московское ш-се, 174, 178, 180</t>
  </si>
  <si>
    <t>Изменение стоимости оборудования</t>
  </si>
  <si>
    <t>построение АСКУЭ в распред.сетях 0,4 кВ ТП842 на вводах и вводах в ж/д Рощинская 27,29,37</t>
  </si>
  <si>
    <t>построение АСКУЭ в распред.сетях 0,4 кВ ТП811 на вводах и вводах в ж/д Московское ш.160/1,162,166</t>
  </si>
  <si>
    <t>установка пожарной сигнализации</t>
  </si>
  <si>
    <t>построение АСКУЭ в распред.сетях 0,4 кВ ТП678 на вводах и вводах в ж/д ул. Паровозная 58, пер. Светофорный 4</t>
  </si>
  <si>
    <t>построение АСКУЭ в распред.сетях 0,4 кВ ТП686 на вводах и вводах в ж/д ул. Шульгина 145,145 "а",пер. Южный 20</t>
  </si>
  <si>
    <t>построение АСКУЭ в распред.сетях 0,4 кВ ТП77 на вводах и вводах в ж/д ул.Веселая 12, ул. Генерала Жадова 13,21 «а», ул. Генерала Родина 48,50</t>
  </si>
  <si>
    <t>построение АСКУЭ в распред.сетях 0,4 кВ ТП83 на вводах и вводах в ж/д Наугорское шоссе 19,19 «а», 21,23,25</t>
  </si>
  <si>
    <t>Построение АСКУЭ  в распред. сетях 0,4 кВ на вводах в ТП-52 ул. Сырзаводская 1,2,5</t>
  </si>
  <si>
    <t>Построение АСКУЭ  в распред. сетях 0,4 кВ на вводах в ТП-142 ул. Денисова 11,13,15,17</t>
  </si>
  <si>
    <t>построение АСКУЭ в распред.сетях 0,4 кВ ЗТП 12 на вводах и вводах в ж/д Ко-минтерна 2,4,6,8,10,12,14 и ул.Ленина 15</t>
  </si>
  <si>
    <t>Змиевский участок</t>
  </si>
  <si>
    <t>построение АСКУЭ в распред.сетях 0,4 кВ ТП-3 на вводах  в ж/д по ул.Садовой</t>
  </si>
  <si>
    <t xml:space="preserve">построение АСКУЭ в распред.сетях 0,4 кВ ТП-1 на вводах  в ж/д по ул. Октябрь-ской        </t>
  </si>
  <si>
    <t xml:space="preserve">построение АСКУЭ в распред.сетях 0,4 кВ ТП-7 на вводах  в ж/д по ул. Завод-ской, 1        </t>
  </si>
  <si>
    <t xml:space="preserve">построение АСКУЭ в распред.сетях 0,4 кВ ТП-2 на вводах  в ж/д по ул. Первомайской, 14        </t>
  </si>
  <si>
    <t>построение АСКУЭ в распред.сетях 0,4 кВ ЗТП-17 на вводах  в ж/д пер. Газопроводской д.9,10,10А,10Б, пер. Куренцова,5А,5Б,5В,3,7,ул.Свободы,62А</t>
  </si>
  <si>
    <t xml:space="preserve">построение АСКУЭ в распред.сетях 0,4 кВ ЗТП-15 на вводах по ул.30 Лет Победы </t>
  </si>
  <si>
    <t>1.3.3.</t>
  </si>
  <si>
    <t>Техническое перевооружение  АСУП  на базе "Модус"</t>
  </si>
  <si>
    <t xml:space="preserve">Новое строительство </t>
  </si>
  <si>
    <t>Жилой дом с офисн.помещение по ул.Фомина, 9</t>
  </si>
  <si>
    <t>Монтаж КТП по ул. Афонина</t>
  </si>
  <si>
    <t>ВЛ 6кВ Ф 313 ПС Узловая, монтаж вакуумного реклоузера РВА/ТЕL</t>
  </si>
  <si>
    <t>Прочее новое строительство (техприсоединение)</t>
  </si>
  <si>
    <t>Жилые дома по Наугорскому шосее 92, 94</t>
  </si>
  <si>
    <t>в том числе</t>
  </si>
  <si>
    <t>ПС</t>
  </si>
  <si>
    <t>КЛ</t>
  </si>
  <si>
    <t>МРСК</t>
  </si>
  <si>
    <t>2.2.2.</t>
  </si>
  <si>
    <t>Жилой дом по ул. 60 Лет Октября, 15</t>
  </si>
  <si>
    <t>ВЛ</t>
  </si>
  <si>
    <t>2.2.3</t>
  </si>
  <si>
    <t>Жилой дом по ул. Приборостроительной, 80</t>
  </si>
  <si>
    <t>Жилой дом микрорайон  Зареченский  поз.13</t>
  </si>
  <si>
    <t>Жилой дом  ул.Октябрьская, 24, 26</t>
  </si>
  <si>
    <t>2.2.6</t>
  </si>
  <si>
    <t>Здание ФНС Московское шос.</t>
  </si>
  <si>
    <t>2.2.7</t>
  </si>
  <si>
    <t>Жилой дом   ул.Лескова, 3</t>
  </si>
  <si>
    <t>2.2.8</t>
  </si>
  <si>
    <t>Жилой дом,  ул.Горького, 84</t>
  </si>
  <si>
    <t>2.2.9</t>
  </si>
  <si>
    <t>Жилой дом , бульвар Молодежи, 9  поз.12</t>
  </si>
  <si>
    <t>2.2.10</t>
  </si>
  <si>
    <t>Жилой дом, бульвар Молодежи, 4   поз.29</t>
  </si>
  <si>
    <t>2.2.11</t>
  </si>
  <si>
    <t>Жилой дом , бульвар Молодежи, 20  поз.19</t>
  </si>
  <si>
    <t>2.2.12</t>
  </si>
  <si>
    <t>Жилой дом , бульвар Молодежи, 14  поз.17</t>
  </si>
  <si>
    <t>2.2.13</t>
  </si>
  <si>
    <t>Жилой дом , бульвар Молодежи, 16  поз.18</t>
  </si>
  <si>
    <t>Зам гл.инженера — Начальник ОПРиТП</t>
  </si>
  <si>
    <t>В.В. Захаров</t>
  </si>
  <si>
    <t>Начальник ПТО</t>
  </si>
  <si>
    <t>Г.В.Щеголева</t>
  </si>
  <si>
    <t>Отчет об исполнении основных этапов работ по реализации инвестиционной программы ОАО "Орелоблэнерго" за 9 месяцев  2011 года( без НДС)
(представляется ежеквартально)</t>
  </si>
  <si>
    <t>Плановый объем финансирования,тыс. руб.*</t>
  </si>
  <si>
    <t>Фактически профинансировано, тыс. руб.</t>
  </si>
  <si>
    <t>Оклонение фактической стоимости работ от плановой стоимости, тыс. руб.</t>
  </si>
  <si>
    <t>Фактически освоено (закрыто актами выполненных работ), тыс. руб.</t>
  </si>
  <si>
    <t>СИП 2   СИП 4</t>
  </si>
  <si>
    <t>0,14   0,302</t>
  </si>
  <si>
    <t>СВ 95   СВ 110</t>
  </si>
  <si>
    <t>СИП 4   СИП 2</t>
  </si>
  <si>
    <t>0,06      0,03</t>
  </si>
  <si>
    <t>0,04      0,45</t>
  </si>
  <si>
    <t xml:space="preserve">СВ 95    </t>
  </si>
  <si>
    <t>СИП 4</t>
  </si>
  <si>
    <t>0,22   0,054</t>
  </si>
  <si>
    <t>СВ 110</t>
  </si>
  <si>
    <t>АС-70</t>
  </si>
  <si>
    <t>0,635      0,03</t>
  </si>
  <si>
    <t xml:space="preserve">СИП 2  </t>
  </si>
  <si>
    <t>СВ 95  СВ 110</t>
  </si>
  <si>
    <t>0,22    0,035</t>
  </si>
  <si>
    <t>0,658 0,035</t>
  </si>
  <si>
    <t>СВ-95</t>
  </si>
  <si>
    <t>0,08  0,021</t>
  </si>
  <si>
    <t>0,07  0,024</t>
  </si>
  <si>
    <t>0,45  0,013</t>
  </si>
  <si>
    <t>0,135  0,31</t>
  </si>
  <si>
    <t xml:space="preserve">СИП 4  </t>
  </si>
  <si>
    <t>АСБ-1 СИП 2   СИП 4</t>
  </si>
  <si>
    <t>0,025  0,600   0,03</t>
  </si>
  <si>
    <t>АВВГ</t>
  </si>
  <si>
    <t>0,08  0,023</t>
  </si>
  <si>
    <t>ТМГ-630  1 шт.</t>
  </si>
  <si>
    <t>ТМГ-400  1 шт.</t>
  </si>
  <si>
    <t>АС-35 СИП 2   СИП 4</t>
  </si>
  <si>
    <t>0,165  0,130   0,02</t>
  </si>
  <si>
    <t>0,480  0,100</t>
  </si>
  <si>
    <t>0,130  0,03</t>
  </si>
  <si>
    <t>4 шт</t>
  </si>
  <si>
    <t>2 шт</t>
  </si>
  <si>
    <t>1 шт</t>
  </si>
  <si>
    <t>АСБ-1 4х70</t>
  </si>
  <si>
    <t>АСБ  3х150</t>
  </si>
  <si>
    <t>АСБ-1 4х120</t>
  </si>
  <si>
    <t>АСБ -10 3х120</t>
  </si>
  <si>
    <t>АСБ -1 4х95</t>
  </si>
  <si>
    <t>АСБ 10 3х120</t>
  </si>
  <si>
    <t>СВ 95, СВ 110</t>
  </si>
  <si>
    <t>СИП 2А 3х35+1х54,6+1х16</t>
  </si>
  <si>
    <t>СИП 2А 3х50+1х54,6+1х16</t>
  </si>
  <si>
    <t>СИП 2А 3х70+1х70+1х16   СИП 2А 3х50+1х54,6+1х16</t>
  </si>
  <si>
    <t>СИП 2 3х50+1х54,6+1х16</t>
  </si>
  <si>
    <t>СИП 2 3х50+1х54,6+1х25</t>
  </si>
  <si>
    <t>СИП 2А 3х70+1х70+1;  СИП 2А 3х50+1х54,6+1х25СИП 2 3х35+1х54,6+1х25СИП 2 3х50+1х54,6+1х16</t>
  </si>
  <si>
    <t>Монтаж СИП 2А от ТП 609 по    ул. 4-ая Курская, пер. Речной, ул. Русанова, ул. Фомина</t>
  </si>
  <si>
    <t xml:space="preserve">СИП 2 3х50+1х54,6+1х16;3х35+1х54,6+1х16;3х50+1х54,6 </t>
  </si>
  <si>
    <t>СВ-110</t>
  </si>
  <si>
    <t>СИП 3А 1х120</t>
  </si>
  <si>
    <t>СИП 2А 3х35+1х54,6+1х16   СИП 2А 3х50+1х54,6+1х16</t>
  </si>
  <si>
    <t>СИП 2А 3х35+1х54,6</t>
  </si>
  <si>
    <t>АС-50</t>
  </si>
  <si>
    <t>СВ-11</t>
  </si>
  <si>
    <t>АСББл-3Х95</t>
  </si>
  <si>
    <t>СИП 3А 1х50</t>
  </si>
  <si>
    <t>Монтаж СИП 2А Ф№2 и Ф№2 от ТП-4 м-н Березовый  в с.Корсаково</t>
  </si>
  <si>
    <t>Монтаж СИП 2А от ТП-12 по ул.Лесной  в г.Новосиле завершенная реконструкция</t>
  </si>
  <si>
    <t>СИП 2А 4х16</t>
  </si>
  <si>
    <t>Монтаж СИП 3А от п/с «Кромская-110/35/10» Ф-12 в п. Кромы незавер-шенная реконструкция</t>
  </si>
  <si>
    <t>СИП 2А 3х35+1х54,6+1х16   СИП 2А 3х50+1х54,6+1х25</t>
  </si>
  <si>
    <t>1шт.</t>
  </si>
  <si>
    <t>3 шт</t>
  </si>
  <si>
    <t>Наладка релейной защиты с микропроцессорным устройством РС 83 А2 в РП -5, на яч. ОЛ -52</t>
  </si>
  <si>
    <t>Наладка релейной защиты с микропроцессорным устройством РС 83 А2 в РП - 1, на яч. ОЛ -01</t>
  </si>
  <si>
    <t>Сигнализация GSM охранная проводная в РУ-0,4 кВ и РУ-6/10 кВ ТП-142,168,185,206,208,363,375,384,434,439,449,488,490,500,717</t>
  </si>
  <si>
    <t>построение АСКУЭ в распред.сетях 0,4 кВ ЗТП-17 на вводах и вводах в ж/д пер. Газопроводской д.9,10,10А,10Б, пер. Куренцова,5А,5Б,5В,3,7,ул.Свободы,62А</t>
  </si>
  <si>
    <t>ТМГ-250   2 шт</t>
  </si>
  <si>
    <t>АСБ-1  АСБ-10</t>
  </si>
  <si>
    <t>0,22     0,780</t>
  </si>
  <si>
    <t>0,620     0,785</t>
  </si>
  <si>
    <t>ТМГ-400   2 шт</t>
  </si>
  <si>
    <t>0,60       4,17</t>
  </si>
  <si>
    <t>Жилой дом микрорайон Зареченский  поз.13</t>
  </si>
  <si>
    <t>ТМГ-1000 2 шт</t>
  </si>
  <si>
    <t>АСБ-10 АСБ-1</t>
  </si>
  <si>
    <t>2,603  0,370</t>
  </si>
  <si>
    <t>1,990  0,525</t>
  </si>
  <si>
    <t>АСБ-10</t>
  </si>
  <si>
    <t>АСБ-1  АпвЭП</t>
  </si>
  <si>
    <t>0,35  2,070</t>
  </si>
  <si>
    <t>АпвПУ</t>
  </si>
  <si>
    <t>1,0  2,070</t>
  </si>
  <si>
    <t>ТМГ-400  2 шт</t>
  </si>
  <si>
    <t>1,01     3,6</t>
  </si>
  <si>
    <t>Отчет об источниках финансирования инвестиционных программ , тыс. рублей   без НДС
(представляется ежеквартально)</t>
  </si>
  <si>
    <t>Объем финансирования
 [2011 год]</t>
  </si>
  <si>
    <t>план*</t>
  </si>
  <si>
    <t>факт**</t>
  </si>
  <si>
    <t>Помощник генерального директора по финансово-экономическим вопросам                                               Т.Г. Парамонова</t>
  </si>
  <si>
    <t>Отчет о вводах/выводах объектов ОАО "Орелоблэнерго"
(представляется ежеквартально)</t>
  </si>
  <si>
    <t>№ п/п</t>
  </si>
  <si>
    <t>Наименование проекта</t>
  </si>
  <si>
    <t>Ввод мощностей</t>
  </si>
  <si>
    <t>Вывод мощностей</t>
  </si>
  <si>
    <t>МВт, Гкал/час, км, МВА</t>
  </si>
  <si>
    <t>1 кв. 2011 г.</t>
  </si>
  <si>
    <t>2 кв. 2011 г.</t>
  </si>
  <si>
    <t>3 кв. 2011 г.</t>
  </si>
  <si>
    <t>4 кв. 2011 г.</t>
  </si>
  <si>
    <t>2011 г.</t>
  </si>
  <si>
    <t>2011г.</t>
  </si>
  <si>
    <t>г.Болхов</t>
  </si>
  <si>
    <t>Знаменский кчасток</t>
  </si>
  <si>
    <t>НарышкинскийМФ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</si>
</sst>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DD/MMM"/>
    <numFmt numFmtId="166" formatCode="@"/>
    <numFmt numFmtId="167" formatCode="0.000"/>
    <numFmt numFmtId="168" formatCode="0.0000"/>
    <numFmt numFmtId="169" formatCode="0.0"/>
    <numFmt numFmtId="170" formatCode="0.00"/>
    <numFmt numFmtId="171" formatCode="0"/>
    <numFmt numFmtId="172" formatCode="#.0000"/>
    <numFmt numFmtId="173" formatCode="0.000000"/>
    <numFmt numFmtId="174" formatCode="#,##0.000000"/>
    <numFmt numFmtId="175" formatCode="######0.0#####"/>
    <numFmt numFmtId="176" formatCode="#,##0.00"/>
    <numFmt numFmtId="177" formatCode="#,##0.0"/>
    <numFmt numFmtId="178" formatCode="#,##0.000"/>
  </numFmts>
  <fonts count="31">
    <font>
      <sz val="12"/>
      <name val="Times New Roman"/>
      <family val="1"/>
    </font>
    <font>
      <sz val="10"/>
      <name val="Arial"/>
      <family val="0"/>
    </font>
    <font>
      <sz val="10"/>
      <name val="Arial Cyr"/>
      <family val="2"/>
    </font>
    <font>
      <b/>
      <sz val="2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1"/>
      <name val="Arial Cyr"/>
      <family val="2"/>
    </font>
    <font>
      <b/>
      <sz val="15"/>
      <name val="Times New Roman"/>
      <family val="1"/>
    </font>
    <font>
      <sz val="16"/>
      <name val="Times New Roman"/>
      <family val="1"/>
    </font>
    <font>
      <b/>
      <sz val="15"/>
      <color indexed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0.5"/>
      <name val="Times New Roman"/>
      <family val="1"/>
    </font>
    <font>
      <b/>
      <sz val="12"/>
      <color indexed="39"/>
      <name val="Times New Roman"/>
      <family val="1"/>
    </font>
    <font>
      <sz val="12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</cellStyleXfs>
  <cellXfs count="382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3" fillId="0" borderId="0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wrapText="1"/>
    </xf>
    <xf numFmtId="164" fontId="6" fillId="0" borderId="1" xfId="0" applyFont="1" applyFill="1" applyBorder="1" applyAlignment="1">
      <alignment horizontal="center" vertical="top" wrapText="1"/>
    </xf>
    <xf numFmtId="164" fontId="0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vertical="center" wrapText="1"/>
    </xf>
    <xf numFmtId="164" fontId="0" fillId="0" borderId="1" xfId="0" applyFont="1" applyFill="1" applyBorder="1" applyAlignment="1">
      <alignment/>
    </xf>
    <xf numFmtId="165" fontId="4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left" vertical="center" wrapText="1"/>
    </xf>
    <xf numFmtId="164" fontId="0" fillId="0" borderId="1" xfId="0" applyFont="1" applyFill="1" applyBorder="1" applyAlignment="1">
      <alignment horizontal="left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7" fontId="0" fillId="0" borderId="1" xfId="0" applyNumberFormat="1" applyFont="1" applyFill="1" applyBorder="1" applyAlignment="1">
      <alignment horizontal="left" vertical="center" wrapText="1"/>
    </xf>
    <xf numFmtId="164" fontId="4" fillId="0" borderId="1" xfId="0" applyFont="1" applyFill="1" applyBorder="1" applyAlignment="1">
      <alignment horizontal="left" vertical="center" wrapText="1"/>
    </xf>
    <xf numFmtId="167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Font="1" applyFill="1" applyBorder="1" applyAlignment="1">
      <alignment/>
    </xf>
    <xf numFmtId="164" fontId="4" fillId="0" borderId="0" xfId="0" applyFont="1" applyFill="1" applyAlignment="1">
      <alignment/>
    </xf>
    <xf numFmtId="168" fontId="0" fillId="0" borderId="1" xfId="0" applyNumberFormat="1" applyFont="1" applyFill="1" applyBorder="1" applyAlignment="1">
      <alignment horizontal="left" vertical="center" wrapText="1"/>
    </xf>
    <xf numFmtId="168" fontId="0" fillId="0" borderId="1" xfId="0" applyNumberFormat="1" applyFont="1" applyFill="1" applyBorder="1" applyAlignment="1">
      <alignment horizontal="center" vertic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left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left" vertical="center" wrapText="1"/>
    </xf>
    <xf numFmtId="169" fontId="0" fillId="0" borderId="1" xfId="0" applyNumberFormat="1" applyFont="1" applyFill="1" applyBorder="1" applyAlignment="1">
      <alignment horizontal="center" vertical="center" wrapText="1"/>
    </xf>
    <xf numFmtId="169" fontId="4" fillId="0" borderId="1" xfId="0" applyNumberFormat="1" applyFont="1" applyFill="1" applyBorder="1" applyAlignment="1">
      <alignment horizontal="left" vertical="center" wrapText="1"/>
    </xf>
    <xf numFmtId="169" fontId="4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left" vertical="center" wrapText="1"/>
    </xf>
    <xf numFmtId="170" fontId="0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171" fontId="0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/>
    </xf>
    <xf numFmtId="171" fontId="0" fillId="0" borderId="1" xfId="0" applyNumberFormat="1" applyFont="1" applyFill="1" applyBorder="1" applyAlignment="1">
      <alignment horizontal="left" vertical="center" wrapText="1"/>
    </xf>
    <xf numFmtId="172" fontId="0" fillId="0" borderId="1" xfId="0" applyNumberFormat="1" applyFont="1" applyFill="1" applyBorder="1" applyAlignment="1">
      <alignment horizontal="left" vertical="center" wrapText="1"/>
    </xf>
    <xf numFmtId="172" fontId="4" fillId="0" borderId="1" xfId="0" applyNumberFormat="1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left" wrapText="1"/>
    </xf>
    <xf numFmtId="173" fontId="0" fillId="0" borderId="1" xfId="0" applyNumberFormat="1" applyFont="1" applyFill="1" applyBorder="1" applyAlignment="1">
      <alignment horizontal="left" vertical="center" wrapText="1"/>
    </xf>
    <xf numFmtId="174" fontId="0" fillId="0" borderId="1" xfId="0" applyNumberFormat="1" applyFont="1" applyFill="1" applyBorder="1" applyAlignment="1">
      <alignment horizontal="left" vertical="center" wrapText="1"/>
    </xf>
    <xf numFmtId="164" fontId="0" fillId="0" borderId="1" xfId="0" applyFont="1" applyFill="1" applyBorder="1" applyAlignment="1">
      <alignment horizontal="center" vertical="center"/>
    </xf>
    <xf numFmtId="173" fontId="0" fillId="0" borderId="1" xfId="0" applyNumberFormat="1" applyFont="1" applyFill="1" applyBorder="1" applyAlignment="1">
      <alignment horizontal="center" vertical="center"/>
    </xf>
    <xf numFmtId="173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Font="1" applyFill="1" applyBorder="1" applyAlignment="1">
      <alignment horizontal="center"/>
    </xf>
    <xf numFmtId="173" fontId="4" fillId="0" borderId="1" xfId="0" applyNumberFormat="1" applyFont="1" applyFill="1" applyBorder="1" applyAlignment="1">
      <alignment horizontal="center"/>
    </xf>
    <xf numFmtId="173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left" vertical="top" wrapText="1"/>
    </xf>
    <xf numFmtId="164" fontId="4" fillId="0" borderId="1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vertical="center" wrapText="1"/>
    </xf>
    <xf numFmtId="164" fontId="4" fillId="0" borderId="1" xfId="0" applyFont="1" applyFill="1" applyBorder="1" applyAlignment="1">
      <alignment wrapText="1"/>
    </xf>
    <xf numFmtId="164" fontId="4" fillId="0" borderId="1" xfId="0" applyFont="1" applyFill="1" applyBorder="1" applyAlignment="1">
      <alignment horizontal="center" wrapText="1"/>
    </xf>
    <xf numFmtId="164" fontId="0" fillId="0" borderId="1" xfId="0" applyFont="1" applyBorder="1" applyAlignment="1">
      <alignment horizontal="left" vertical="top" wrapText="1"/>
    </xf>
    <xf numFmtId="164" fontId="4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/>
    </xf>
    <xf numFmtId="164" fontId="0" fillId="0" borderId="2" xfId="0" applyNumberFormat="1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left" vertical="top" wrapText="1"/>
    </xf>
    <xf numFmtId="164" fontId="4" fillId="0" borderId="2" xfId="0" applyFont="1" applyFill="1" applyBorder="1" applyAlignment="1">
      <alignment horizontal="center" vertical="center" wrapText="1"/>
    </xf>
    <xf numFmtId="167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wrapText="1"/>
    </xf>
    <xf numFmtId="164" fontId="4" fillId="0" borderId="2" xfId="0" applyFont="1" applyFill="1" applyBorder="1" applyAlignment="1">
      <alignment horizontal="center" wrapText="1"/>
    </xf>
    <xf numFmtId="164" fontId="0" fillId="0" borderId="2" xfId="0" applyFont="1" applyFill="1" applyBorder="1" applyAlignment="1">
      <alignment/>
    </xf>
    <xf numFmtId="164" fontId="0" fillId="0" borderId="3" xfId="0" applyNumberFormat="1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left" vertical="top" wrapText="1"/>
    </xf>
    <xf numFmtId="164" fontId="4" fillId="0" borderId="3" xfId="0" applyFont="1" applyFill="1" applyBorder="1" applyAlignment="1">
      <alignment horizontal="center" vertical="center" wrapText="1"/>
    </xf>
    <xf numFmtId="167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Font="1" applyFill="1" applyBorder="1" applyAlignment="1">
      <alignment horizontal="center" vertical="center" wrapText="1"/>
    </xf>
    <xf numFmtId="164" fontId="4" fillId="0" borderId="3" xfId="0" applyFont="1" applyFill="1" applyBorder="1" applyAlignment="1">
      <alignment horizontal="center" vertical="center"/>
    </xf>
    <xf numFmtId="164" fontId="4" fillId="0" borderId="5" xfId="0" applyFont="1" applyFill="1" applyBorder="1" applyAlignment="1">
      <alignment horizontal="center" vertical="center"/>
    </xf>
    <xf numFmtId="164" fontId="4" fillId="0" borderId="3" xfId="0" applyFont="1" applyFill="1" applyBorder="1" applyAlignment="1">
      <alignment vertical="center" wrapText="1"/>
    </xf>
    <xf numFmtId="164" fontId="0" fillId="0" borderId="3" xfId="0" applyFont="1" applyFill="1" applyBorder="1" applyAlignment="1">
      <alignment/>
    </xf>
    <xf numFmtId="164" fontId="4" fillId="0" borderId="6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top" wrapText="1"/>
    </xf>
    <xf numFmtId="164" fontId="0" fillId="0" borderId="1" xfId="0" applyFont="1" applyBorder="1" applyAlignment="1">
      <alignment horizontal="center"/>
    </xf>
    <xf numFmtId="164" fontId="4" fillId="0" borderId="2" xfId="0" applyFont="1" applyFill="1" applyBorder="1" applyAlignment="1">
      <alignment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vertical="top" wrapText="1"/>
    </xf>
    <xf numFmtId="164" fontId="4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left" vertical="center" wrapText="1"/>
    </xf>
    <xf numFmtId="174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right" vertical="center" wrapText="1"/>
    </xf>
    <xf numFmtId="174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1" xfId="0" applyNumberFormat="1" applyFont="1" applyFill="1" applyBorder="1" applyAlignment="1">
      <alignment/>
    </xf>
    <xf numFmtId="175" fontId="0" fillId="0" borderId="1" xfId="0" applyNumberFormat="1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 wrapText="1"/>
    </xf>
    <xf numFmtId="164" fontId="0" fillId="0" borderId="0" xfId="0" applyFont="1" applyFill="1" applyAlignment="1">
      <alignment horizontal="left" wrapText="1"/>
    </xf>
    <xf numFmtId="171" fontId="4" fillId="0" borderId="0" xfId="0" applyNumberFormat="1" applyFont="1" applyFill="1" applyAlignment="1">
      <alignment horizontal="left" vertical="top"/>
    </xf>
    <xf numFmtId="164" fontId="0" fillId="0" borderId="0" xfId="0" applyFont="1" applyFill="1" applyAlignment="1">
      <alignment horizontal="center"/>
    </xf>
    <xf numFmtId="164" fontId="0" fillId="0" borderId="0" xfId="0" applyFont="1" applyAlignment="1">
      <alignment/>
    </xf>
    <xf numFmtId="164" fontId="4" fillId="0" borderId="0" xfId="0" applyFont="1" applyBorder="1" applyAlignment="1">
      <alignment horizontal="center" wrapText="1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center" wrapText="1"/>
    </xf>
    <xf numFmtId="164" fontId="0" fillId="0" borderId="0" xfId="0" applyFont="1" applyAlignment="1">
      <alignment horizontal="right"/>
    </xf>
    <xf numFmtId="164" fontId="9" fillId="0" borderId="0" xfId="0" applyFont="1" applyFill="1" applyAlignment="1">
      <alignment/>
    </xf>
    <xf numFmtId="164" fontId="9" fillId="0" borderId="0" xfId="0" applyFont="1" applyBorder="1" applyAlignment="1">
      <alignment horizontal="right" vertical="center"/>
    </xf>
    <xf numFmtId="164" fontId="4" fillId="0" borderId="0" xfId="0" applyFont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4" fillId="0" borderId="0" xfId="0" applyFont="1" applyAlignment="1">
      <alignment horizontal="right"/>
    </xf>
    <xf numFmtId="164" fontId="0" fillId="0" borderId="3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left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/>
    </xf>
    <xf numFmtId="164" fontId="4" fillId="0" borderId="3" xfId="0" applyFont="1" applyFill="1" applyBorder="1" applyAlignment="1">
      <alignment horizontal="left" vertical="center"/>
    </xf>
    <xf numFmtId="164" fontId="4" fillId="0" borderId="3" xfId="0" applyFont="1" applyFill="1" applyBorder="1" applyAlignment="1">
      <alignment horizontal="left" vertical="center" wrapText="1"/>
    </xf>
    <xf numFmtId="176" fontId="4" fillId="0" borderId="3" xfId="0" applyNumberFormat="1" applyFont="1" applyFill="1" applyBorder="1" applyAlignment="1">
      <alignment/>
    </xf>
    <xf numFmtId="164" fontId="0" fillId="0" borderId="3" xfId="0" applyFont="1" applyBorder="1" applyAlignment="1">
      <alignment/>
    </xf>
    <xf numFmtId="164" fontId="0" fillId="0" borderId="1" xfId="0" applyFont="1" applyFill="1" applyBorder="1" applyAlignment="1">
      <alignment horizontal="left" vertical="center"/>
    </xf>
    <xf numFmtId="164" fontId="0" fillId="0" borderId="1" xfId="0" applyFont="1" applyFill="1" applyBorder="1" applyAlignment="1">
      <alignment horizontal="right" vertical="center" wrapText="1"/>
    </xf>
    <xf numFmtId="164" fontId="0" fillId="0" borderId="0" xfId="0" applyFont="1" applyFill="1" applyBorder="1" applyAlignment="1">
      <alignment horizontal="left" vertical="center"/>
    </xf>
    <xf numFmtId="164" fontId="0" fillId="0" borderId="0" xfId="0" applyFont="1" applyFill="1" applyBorder="1" applyAlignment="1">
      <alignment horizontal="right" vertical="center" wrapText="1"/>
    </xf>
    <xf numFmtId="164" fontId="0" fillId="0" borderId="0" xfId="0" applyFont="1" applyBorder="1" applyAlignment="1">
      <alignment/>
    </xf>
    <xf numFmtId="164" fontId="4" fillId="0" borderId="0" xfId="0" applyFont="1" applyBorder="1" applyAlignment="1">
      <alignment horizontal="center" vertical="center" wrapText="1"/>
    </xf>
    <xf numFmtId="164" fontId="9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left" vertical="center" wrapText="1" indent="4"/>
    </xf>
    <xf numFmtId="164" fontId="0" fillId="0" borderId="0" xfId="0" applyFont="1" applyFill="1" applyAlignment="1">
      <alignment horizontal="center" vertical="center"/>
    </xf>
    <xf numFmtId="167" fontId="0" fillId="0" borderId="0" xfId="0" applyNumberFormat="1" applyFont="1" applyFill="1" applyAlignment="1">
      <alignment horizontal="center" vertical="center"/>
    </xf>
    <xf numFmtId="164" fontId="0" fillId="0" borderId="0" xfId="0" applyFont="1" applyFill="1" applyAlignment="1">
      <alignment/>
    </xf>
    <xf numFmtId="164" fontId="10" fillId="0" borderId="0" xfId="0" applyFont="1" applyFill="1" applyBorder="1" applyAlignment="1">
      <alignment horizontal="center" wrapText="1"/>
    </xf>
    <xf numFmtId="164" fontId="11" fillId="0" borderId="0" xfId="0" applyFont="1" applyFill="1" applyAlignment="1">
      <alignment/>
    </xf>
    <xf numFmtId="164" fontId="11" fillId="0" borderId="0" xfId="0" applyFont="1" applyFill="1" applyBorder="1" applyAlignment="1">
      <alignment horizontal="right" vertical="center"/>
    </xf>
    <xf numFmtId="164" fontId="4" fillId="0" borderId="1" xfId="0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4" fontId="0" fillId="0" borderId="7" xfId="0" applyFont="1" applyFill="1" applyBorder="1" applyAlignment="1">
      <alignment horizontal="center" vertical="center" wrapText="1"/>
    </xf>
    <xf numFmtId="167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4" fontId="0" fillId="2" borderId="0" xfId="0" applyFont="1" applyFill="1" applyAlignment="1">
      <alignment/>
    </xf>
    <xf numFmtId="177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 horizontal="left" vertical="center" wrapText="1"/>
    </xf>
    <xf numFmtId="164" fontId="12" fillId="0" borderId="1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vertical="top" wrapText="1"/>
    </xf>
    <xf numFmtId="167" fontId="13" fillId="2" borderId="1" xfId="0" applyNumberFormat="1" applyFont="1" applyFill="1" applyBorder="1" applyAlignment="1">
      <alignment horizontal="center" vertical="center" wrapText="1"/>
    </xf>
    <xf numFmtId="170" fontId="4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/>
    </xf>
    <xf numFmtId="164" fontId="4" fillId="2" borderId="0" xfId="0" applyFont="1" applyFill="1" applyBorder="1" applyAlignment="1">
      <alignment/>
    </xf>
    <xf numFmtId="164" fontId="4" fillId="2" borderId="0" xfId="0" applyFont="1" applyFill="1" applyAlignment="1">
      <alignment/>
    </xf>
    <xf numFmtId="171" fontId="4" fillId="0" borderId="1" xfId="0" applyNumberFormat="1" applyFont="1" applyFill="1" applyBorder="1" applyAlignment="1">
      <alignment horizontal="center" vertical="center" wrapText="1"/>
    </xf>
    <xf numFmtId="164" fontId="4" fillId="0" borderId="7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/>
    </xf>
    <xf numFmtId="167" fontId="0" fillId="0" borderId="3" xfId="0" applyNumberFormat="1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left" vertical="center" wrapText="1"/>
    </xf>
    <xf numFmtId="178" fontId="0" fillId="0" borderId="1" xfId="0" applyNumberFormat="1" applyFont="1" applyFill="1" applyBorder="1" applyAlignment="1">
      <alignment horizontal="center" vertical="center" wrapText="1"/>
    </xf>
    <xf numFmtId="169" fontId="0" fillId="0" borderId="7" xfId="0" applyNumberFormat="1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6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14" fillId="0" borderId="1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 vertical="center"/>
    </xf>
    <xf numFmtId="164" fontId="15" fillId="0" borderId="0" xfId="0" applyFont="1" applyFill="1" applyAlignment="1">
      <alignment vertical="center"/>
    </xf>
    <xf numFmtId="164" fontId="16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0" fontId="0" fillId="0" borderId="7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7" xfId="0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Font="1" applyFill="1" applyBorder="1" applyAlignment="1">
      <alignment vertical="center"/>
    </xf>
    <xf numFmtId="164" fontId="7" fillId="0" borderId="3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7" xfId="0" applyFont="1" applyFill="1" applyBorder="1" applyAlignment="1">
      <alignment horizontal="center" vertical="center" wrapText="1"/>
    </xf>
    <xf numFmtId="164" fontId="17" fillId="0" borderId="1" xfId="0" applyFont="1" applyFill="1" applyBorder="1" applyAlignment="1">
      <alignment horizontal="center" vertical="center" wrapText="1"/>
    </xf>
    <xf numFmtId="167" fontId="17" fillId="0" borderId="1" xfId="0" applyNumberFormat="1" applyFont="1" applyFill="1" applyBorder="1" applyAlignment="1">
      <alignment horizontal="center" vertical="center" wrapText="1"/>
    </xf>
    <xf numFmtId="164" fontId="18" fillId="0" borderId="1" xfId="0" applyFont="1" applyFill="1" applyBorder="1" applyAlignment="1">
      <alignment horizontal="left" wrapText="1"/>
    </xf>
    <xf numFmtId="164" fontId="18" fillId="0" borderId="1" xfId="0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center" vertical="center" wrapText="1"/>
    </xf>
    <xf numFmtId="177" fontId="18" fillId="0" borderId="1" xfId="0" applyNumberFormat="1" applyFont="1" applyFill="1" applyBorder="1" applyAlignment="1">
      <alignment horizontal="center" vertical="center" wrapText="1"/>
    </xf>
    <xf numFmtId="164" fontId="18" fillId="0" borderId="0" xfId="0" applyFont="1" applyFill="1" applyBorder="1" applyAlignment="1">
      <alignment horizontal="left" wrapText="1"/>
    </xf>
    <xf numFmtId="164" fontId="18" fillId="0" borderId="6" xfId="0" applyFont="1" applyFill="1" applyBorder="1" applyAlignment="1">
      <alignment horizontal="left" wrapText="1"/>
    </xf>
    <xf numFmtId="164" fontId="17" fillId="0" borderId="1" xfId="0" applyFont="1" applyFill="1" applyBorder="1" applyAlignment="1">
      <alignment horizontal="left" wrapText="1"/>
    </xf>
    <xf numFmtId="171" fontId="0" fillId="0" borderId="1" xfId="0" applyNumberFormat="1" applyFont="1" applyFill="1" applyBorder="1" applyAlignment="1">
      <alignment/>
    </xf>
    <xf numFmtId="171" fontId="0" fillId="0" borderId="1" xfId="0" applyNumberFormat="1" applyFont="1" applyFill="1" applyBorder="1" applyAlignment="1">
      <alignment horizontal="left" wrapText="1"/>
    </xf>
    <xf numFmtId="171" fontId="0" fillId="0" borderId="1" xfId="0" applyNumberFormat="1" applyFont="1" applyFill="1" applyBorder="1" applyAlignment="1">
      <alignment horizontal="center" vertical="center"/>
    </xf>
    <xf numFmtId="167" fontId="0" fillId="0" borderId="7" xfId="0" applyNumberFormat="1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 wrapText="1"/>
    </xf>
    <xf numFmtId="167" fontId="9" fillId="0" borderId="3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left"/>
    </xf>
    <xf numFmtId="177" fontId="5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164" fontId="0" fillId="0" borderId="1" xfId="0" applyFill="1" applyBorder="1" applyAlignment="1">
      <alignment horizontal="left"/>
    </xf>
    <xf numFmtId="164" fontId="0" fillId="0" borderId="0" xfId="0" applyFill="1" applyBorder="1" applyAlignment="1">
      <alignment horizontal="left"/>
    </xf>
    <xf numFmtId="164" fontId="0" fillId="0" borderId="0" xfId="0" applyFill="1" applyAlignment="1">
      <alignment horizontal="left"/>
    </xf>
    <xf numFmtId="165" fontId="7" fillId="2" borderId="1" xfId="0" applyNumberFormat="1" applyFont="1" applyFill="1" applyBorder="1" applyAlignment="1">
      <alignment horizontal="left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4" fillId="2" borderId="7" xfId="0" applyFont="1" applyFill="1" applyBorder="1" applyAlignment="1">
      <alignment horizontal="center" vertical="center" wrapText="1"/>
    </xf>
    <xf numFmtId="167" fontId="0" fillId="2" borderId="1" xfId="0" applyNumberFormat="1" applyFont="1" applyFill="1" applyBorder="1" applyAlignment="1">
      <alignment horizontal="center" vertical="center" wrapText="1"/>
    </xf>
    <xf numFmtId="178" fontId="0" fillId="2" borderId="1" xfId="0" applyNumberFormat="1" applyFont="1" applyFill="1" applyBorder="1" applyAlignment="1">
      <alignment horizontal="center" vertical="center" wrapText="1"/>
    </xf>
    <xf numFmtId="169" fontId="0" fillId="2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/>
    </xf>
    <xf numFmtId="177" fontId="4" fillId="0" borderId="1" xfId="0" applyNumberFormat="1" applyFont="1" applyFill="1" applyBorder="1" applyAlignment="1">
      <alignment horizontal="center" vertical="center" wrapText="1"/>
    </xf>
    <xf numFmtId="164" fontId="0" fillId="0" borderId="1" xfId="0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4" fontId="5" fillId="0" borderId="7" xfId="0" applyFont="1" applyFill="1" applyBorder="1" applyAlignment="1">
      <alignment horizontal="center" vertical="center" wrapText="1"/>
    </xf>
    <xf numFmtId="164" fontId="0" fillId="0" borderId="1" xfId="0" applyFill="1" applyBorder="1" applyAlignment="1">
      <alignment horizontal="center" vertical="center" wrapText="1"/>
    </xf>
    <xf numFmtId="164" fontId="0" fillId="0" borderId="1" xfId="0" applyFill="1" applyBorder="1" applyAlignment="1">
      <alignment vertical="center"/>
    </xf>
    <xf numFmtId="164" fontId="0" fillId="0" borderId="0" xfId="0" applyFill="1" applyBorder="1" applyAlignment="1">
      <alignment vertical="center"/>
    </xf>
    <xf numFmtId="164" fontId="0" fillId="0" borderId="0" xfId="0" applyFill="1" applyAlignment="1">
      <alignment vertical="center"/>
    </xf>
    <xf numFmtId="164" fontId="14" fillId="2" borderId="1" xfId="0" applyNumberFormat="1" applyFont="1" applyFill="1" applyBorder="1" applyAlignment="1">
      <alignment horizontal="center" vertical="center" wrapText="1"/>
    </xf>
    <xf numFmtId="177" fontId="15" fillId="2" borderId="1" xfId="0" applyNumberFormat="1" applyFont="1" applyFill="1" applyBorder="1" applyAlignment="1">
      <alignment horizontal="center" vertical="center" wrapText="1"/>
    </xf>
    <xf numFmtId="164" fontId="15" fillId="2" borderId="1" xfId="0" applyFont="1" applyFill="1" applyBorder="1" applyAlignment="1">
      <alignment vertical="center"/>
    </xf>
    <xf numFmtId="164" fontId="15" fillId="2" borderId="0" xfId="0" applyFont="1" applyFill="1" applyBorder="1" applyAlignment="1">
      <alignment vertical="center"/>
    </xf>
    <xf numFmtId="164" fontId="5" fillId="0" borderId="1" xfId="0" applyFont="1" applyFill="1" applyBorder="1" applyAlignment="1">
      <alignment horizontal="center" vertical="center"/>
    </xf>
    <xf numFmtId="164" fontId="19" fillId="0" borderId="1" xfId="0" applyFont="1" applyFill="1" applyBorder="1" applyAlignment="1">
      <alignment horizontal="center" vertical="center" wrapText="1"/>
    </xf>
    <xf numFmtId="164" fontId="19" fillId="0" borderId="7" xfId="0" applyFont="1" applyFill="1" applyBorder="1" applyAlignment="1">
      <alignment horizontal="center" vertical="center" wrapText="1"/>
    </xf>
    <xf numFmtId="177" fontId="19" fillId="0" borderId="1" xfId="0" applyNumberFormat="1" applyFont="1" applyFill="1" applyBorder="1" applyAlignment="1">
      <alignment horizontal="center" vertical="center" wrapText="1"/>
    </xf>
    <xf numFmtId="164" fontId="19" fillId="0" borderId="1" xfId="0" applyFont="1" applyFill="1" applyBorder="1" applyAlignment="1">
      <alignment vertical="center"/>
    </xf>
    <xf numFmtId="164" fontId="19" fillId="0" borderId="0" xfId="0" applyFont="1" applyFill="1" applyBorder="1" applyAlignment="1">
      <alignment vertical="center"/>
    </xf>
    <xf numFmtId="164" fontId="19" fillId="0" borderId="7" xfId="0" applyFont="1" applyFill="1" applyBorder="1" applyAlignment="1">
      <alignment vertical="center"/>
    </xf>
    <xf numFmtId="164" fontId="7" fillId="0" borderId="1" xfId="0" applyFont="1" applyFill="1" applyBorder="1" applyAlignment="1">
      <alignment horizontal="left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15" fillId="0" borderId="7" xfId="0" applyFont="1" applyFill="1" applyBorder="1" applyAlignment="1">
      <alignment vertical="center"/>
    </xf>
    <xf numFmtId="164" fontId="5" fillId="0" borderId="1" xfId="0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horizontal="left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7" fontId="6" fillId="0" borderId="7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vertical="center"/>
    </xf>
    <xf numFmtId="164" fontId="6" fillId="0" borderId="0" xfId="0" applyFont="1" applyFill="1" applyAlignment="1">
      <alignment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169" fontId="4" fillId="0" borderId="1" xfId="0" applyNumberFormat="1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left" wrapText="1"/>
    </xf>
    <xf numFmtId="167" fontId="20" fillId="0" borderId="1" xfId="0" applyNumberFormat="1" applyFont="1" applyFill="1" applyBorder="1" applyAlignment="1">
      <alignment horizontal="center" vertical="center" wrapText="1"/>
    </xf>
    <xf numFmtId="167" fontId="6" fillId="0" borderId="6" xfId="0" applyNumberFormat="1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4" fontId="4" fillId="0" borderId="7" xfId="0" applyFont="1" applyFill="1" applyBorder="1" applyAlignment="1">
      <alignment vertical="center"/>
    </xf>
    <xf numFmtId="164" fontId="4" fillId="0" borderId="0" xfId="0" applyFont="1" applyFill="1" applyBorder="1" applyAlignment="1">
      <alignment vertical="center"/>
    </xf>
    <xf numFmtId="164" fontId="4" fillId="0" borderId="0" xfId="0" applyFont="1" applyFill="1" applyAlignment="1">
      <alignment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171" fontId="0" fillId="0" borderId="1" xfId="0" applyNumberFormat="1" applyFont="1" applyFill="1" applyBorder="1" applyAlignment="1">
      <alignment horizontal="center" vertical="center" wrapText="1"/>
    </xf>
    <xf numFmtId="164" fontId="0" fillId="0" borderId="6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vertical="center"/>
    </xf>
    <xf numFmtId="164" fontId="0" fillId="0" borderId="7" xfId="0" applyFont="1" applyFill="1" applyBorder="1" applyAlignment="1">
      <alignment vertical="center"/>
    </xf>
    <xf numFmtId="164" fontId="0" fillId="0" borderId="0" xfId="0" applyFont="1" applyFill="1" applyBorder="1" applyAlignment="1">
      <alignment vertical="center"/>
    </xf>
    <xf numFmtId="164" fontId="0" fillId="0" borderId="0" xfId="0" applyFont="1" applyFill="1" applyAlignment="1">
      <alignment vertical="center"/>
    </xf>
    <xf numFmtId="164" fontId="0" fillId="0" borderId="6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15" fillId="0" borderId="1" xfId="0" applyFont="1" applyFill="1" applyBorder="1" applyAlignment="1">
      <alignment horizontal="center" vertical="center" wrapText="1"/>
    </xf>
    <xf numFmtId="164" fontId="15" fillId="0" borderId="7" xfId="0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vertical="top" wrapText="1"/>
    </xf>
    <xf numFmtId="164" fontId="4" fillId="0" borderId="7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/>
    </xf>
    <xf numFmtId="164" fontId="15" fillId="2" borderId="0" xfId="0" applyFont="1" applyFill="1" applyAlignment="1">
      <alignment vertical="center"/>
    </xf>
    <xf numFmtId="170" fontId="14" fillId="0" borderId="1" xfId="0" applyNumberFormat="1" applyFont="1" applyFill="1" applyBorder="1" applyAlignment="1">
      <alignment horizontal="center" vertical="center" wrapText="1"/>
    </xf>
    <xf numFmtId="164" fontId="21" fillId="0" borderId="0" xfId="0" applyFont="1" applyFill="1" applyAlignment="1">
      <alignment/>
    </xf>
    <xf numFmtId="164" fontId="21" fillId="0" borderId="0" xfId="0" applyFont="1" applyFill="1" applyBorder="1" applyAlignment="1">
      <alignment/>
    </xf>
    <xf numFmtId="164" fontId="0" fillId="0" borderId="0" xfId="0" applyFont="1" applyFill="1" applyAlignment="1">
      <alignment horizontal="right"/>
    </xf>
    <xf numFmtId="164" fontId="0" fillId="0" borderId="1" xfId="0" applyFont="1" applyFill="1" applyBorder="1" applyAlignment="1">
      <alignment horizontal="center" vertical="top" wrapText="1"/>
    </xf>
    <xf numFmtId="164" fontId="0" fillId="0" borderId="1" xfId="0" applyFont="1" applyFill="1" applyBorder="1" applyAlignment="1">
      <alignment vertical="center" wrapText="1"/>
    </xf>
    <xf numFmtId="167" fontId="4" fillId="0" borderId="7" xfId="0" applyNumberFormat="1" applyFont="1" applyFill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vertical="center" wrapText="1"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 wrapText="1"/>
    </xf>
    <xf numFmtId="167" fontId="22" fillId="0" borderId="1" xfId="0" applyNumberFormat="1" applyFont="1" applyFill="1" applyBorder="1" applyAlignment="1">
      <alignment horizontal="center" vertical="center" wrapText="1"/>
    </xf>
    <xf numFmtId="170" fontId="0" fillId="0" borderId="1" xfId="0" applyNumberFormat="1" applyFont="1" applyBorder="1" applyAlignment="1">
      <alignment horizontal="center" vertical="center" wrapText="1"/>
    </xf>
    <xf numFmtId="167" fontId="22" fillId="2" borderId="1" xfId="0" applyNumberFormat="1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 wrapText="1"/>
    </xf>
    <xf numFmtId="167" fontId="0" fillId="0" borderId="1" xfId="0" applyNumberFormat="1" applyFont="1" applyFill="1" applyBorder="1" applyAlignment="1">
      <alignment/>
    </xf>
    <xf numFmtId="171" fontId="0" fillId="0" borderId="3" xfId="0" applyNumberFormat="1" applyFont="1" applyFill="1" applyBorder="1" applyAlignment="1">
      <alignment horizontal="center" vertical="center" wrapText="1"/>
    </xf>
    <xf numFmtId="171" fontId="4" fillId="0" borderId="3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Font="1" applyFill="1" applyBorder="1" applyAlignment="1">
      <alignment horizontal="left" vertical="center" wrapText="1"/>
    </xf>
    <xf numFmtId="171" fontId="13" fillId="0" borderId="3" xfId="0" applyNumberFormat="1" applyFont="1" applyFill="1" applyBorder="1" applyAlignment="1">
      <alignment horizontal="center" vertical="center" wrapText="1"/>
    </xf>
    <xf numFmtId="171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Font="1" applyFill="1" applyBorder="1" applyAlignment="1">
      <alignment horizontal="center" vertical="center" wrapText="1"/>
    </xf>
    <xf numFmtId="167" fontId="13" fillId="0" borderId="3" xfId="0" applyNumberFormat="1" applyFont="1" applyFill="1" applyBorder="1" applyAlignment="1">
      <alignment horizontal="center" vertical="center" wrapText="1"/>
    </xf>
    <xf numFmtId="164" fontId="13" fillId="0" borderId="1" xfId="0" applyFont="1" applyFill="1" applyBorder="1" applyAlignment="1">
      <alignment/>
    </xf>
    <xf numFmtId="164" fontId="13" fillId="0" borderId="1" xfId="0" applyFont="1" applyFill="1" applyBorder="1" applyAlignment="1">
      <alignment wrapText="1"/>
    </xf>
    <xf numFmtId="167" fontId="13" fillId="0" borderId="1" xfId="0" applyNumberFormat="1" applyFont="1" applyFill="1" applyBorder="1" applyAlignment="1">
      <alignment/>
    </xf>
    <xf numFmtId="164" fontId="13" fillId="0" borderId="0" xfId="0" applyFont="1" applyFill="1" applyAlignment="1">
      <alignment/>
    </xf>
    <xf numFmtId="164" fontId="7" fillId="0" borderId="2" xfId="0" applyFont="1" applyFill="1" applyBorder="1" applyAlignment="1">
      <alignment horizontal="left" vertical="center" wrapText="1"/>
    </xf>
    <xf numFmtId="164" fontId="5" fillId="0" borderId="1" xfId="0" applyFont="1" applyFill="1" applyBorder="1" applyAlignment="1">
      <alignment horizontal="center"/>
    </xf>
    <xf numFmtId="164" fontId="0" fillId="0" borderId="2" xfId="0" applyFont="1" applyFill="1" applyBorder="1" applyAlignment="1">
      <alignment horizontal="center" vertical="center" wrapText="1"/>
    </xf>
    <xf numFmtId="164" fontId="0" fillId="0" borderId="7" xfId="0" applyFont="1" applyFill="1" applyBorder="1" applyAlignment="1">
      <alignment horizontal="center"/>
    </xf>
    <xf numFmtId="164" fontId="0" fillId="0" borderId="6" xfId="0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right"/>
    </xf>
    <xf numFmtId="164" fontId="0" fillId="0" borderId="2" xfId="0" applyFont="1" applyFill="1" applyBorder="1" applyAlignment="1">
      <alignment horizontal="center"/>
    </xf>
    <xf numFmtId="164" fontId="0" fillId="0" borderId="2" xfId="0" applyFont="1" applyFill="1" applyBorder="1" applyAlignment="1">
      <alignment horizontal="center" wrapText="1"/>
    </xf>
    <xf numFmtId="167" fontId="14" fillId="0" borderId="1" xfId="0" applyNumberFormat="1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vertical="center"/>
    </xf>
    <xf numFmtId="167" fontId="0" fillId="0" borderId="1" xfId="0" applyNumberFormat="1" applyFont="1" applyFill="1" applyBorder="1" applyAlignment="1">
      <alignment horizontal="center" vertical="center" wrapText="1" indent="1"/>
    </xf>
    <xf numFmtId="164" fontId="0" fillId="0" borderId="1" xfId="0" applyFont="1" applyFill="1" applyBorder="1" applyAlignment="1">
      <alignment horizontal="center" vertical="center" wrapText="1" indent="1"/>
    </xf>
    <xf numFmtId="164" fontId="4" fillId="0" borderId="3" xfId="0" applyFont="1" applyFill="1" applyBorder="1" applyAlignment="1">
      <alignment vertical="center"/>
    </xf>
    <xf numFmtId="166" fontId="16" fillId="0" borderId="1" xfId="0" applyNumberFormat="1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/>
    </xf>
    <xf numFmtId="169" fontId="0" fillId="0" borderId="1" xfId="0" applyNumberFormat="1" applyFont="1" applyBorder="1" applyAlignment="1">
      <alignment horizontal="center" wrapText="1"/>
    </xf>
    <xf numFmtId="167" fontId="0" fillId="0" borderId="1" xfId="0" applyNumberFormat="1" applyFont="1" applyBorder="1" applyAlignment="1">
      <alignment horizontal="center" vertical="center"/>
    </xf>
    <xf numFmtId="164" fontId="0" fillId="0" borderId="1" xfId="0" applyFont="1" applyFill="1" applyBorder="1" applyAlignment="1">
      <alignment vertical="center"/>
    </xf>
    <xf numFmtId="167" fontId="0" fillId="0" borderId="1" xfId="0" applyNumberFormat="1" applyFont="1" applyFill="1" applyBorder="1" applyAlignment="1">
      <alignment horizontal="center"/>
    </xf>
    <xf numFmtId="164" fontId="0" fillId="3" borderId="1" xfId="0" applyFont="1" applyFill="1" applyBorder="1" applyAlignment="1">
      <alignment horizontal="left" vertical="center" wrapText="1"/>
    </xf>
    <xf numFmtId="164" fontId="23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right"/>
    </xf>
    <xf numFmtId="164" fontId="9" fillId="0" borderId="0" xfId="0" applyFont="1" applyAlignment="1">
      <alignment/>
    </xf>
    <xf numFmtId="164" fontId="24" fillId="0" borderId="0" xfId="0" applyFont="1" applyFill="1" applyAlignment="1">
      <alignment/>
    </xf>
    <xf numFmtId="164" fontId="24" fillId="0" borderId="0" xfId="0" applyFont="1" applyBorder="1" applyAlignment="1">
      <alignment horizontal="right" vertical="center"/>
    </xf>
    <xf numFmtId="164" fontId="11" fillId="0" borderId="0" xfId="0" applyFont="1" applyBorder="1" applyAlignment="1">
      <alignment horizontal="right" vertical="center"/>
    </xf>
    <xf numFmtId="164" fontId="25" fillId="0" borderId="1" xfId="0" applyFont="1" applyBorder="1" applyAlignment="1">
      <alignment horizontal="center" vertical="center" wrapText="1"/>
    </xf>
    <xf numFmtId="164" fontId="21" fillId="0" borderId="3" xfId="0" applyFont="1" applyFill="1" applyBorder="1" applyAlignment="1">
      <alignment horizontal="center" vertical="center" wrapText="1"/>
    </xf>
    <xf numFmtId="164" fontId="21" fillId="0" borderId="3" xfId="0" applyFont="1" applyFill="1" applyBorder="1" applyAlignment="1">
      <alignment horizontal="left" vertical="center" wrapText="1"/>
    </xf>
    <xf numFmtId="177" fontId="25" fillId="0" borderId="3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 wrapText="1"/>
    </xf>
    <xf numFmtId="164" fontId="21" fillId="0" borderId="1" xfId="0" applyFont="1" applyFill="1" applyBorder="1" applyAlignment="1">
      <alignment horizontal="center" vertical="center"/>
    </xf>
    <xf numFmtId="164" fontId="21" fillId="0" borderId="1" xfId="0" applyFont="1" applyFill="1" applyBorder="1" applyAlignment="1">
      <alignment horizontal="left" vertical="center" wrapText="1"/>
    </xf>
    <xf numFmtId="177" fontId="21" fillId="0" borderId="1" xfId="0" applyNumberFormat="1" applyFont="1" applyFill="1" applyBorder="1" applyAlignment="1">
      <alignment horizontal="center" vertical="center" wrapText="1"/>
    </xf>
    <xf numFmtId="177" fontId="21" fillId="0" borderId="1" xfId="0" applyNumberFormat="1" applyFont="1" applyFill="1" applyBorder="1" applyAlignment="1">
      <alignment horizontal="left" vertical="center" wrapText="1"/>
    </xf>
    <xf numFmtId="164" fontId="21" fillId="0" borderId="1" xfId="0" applyFont="1" applyFill="1" applyBorder="1" applyAlignment="1">
      <alignment/>
    </xf>
    <xf numFmtId="177" fontId="25" fillId="0" borderId="1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Alignment="1">
      <alignment/>
    </xf>
    <xf numFmtId="164" fontId="21" fillId="0" borderId="3" xfId="0" applyFont="1" applyFill="1" applyBorder="1" applyAlignment="1">
      <alignment horizontal="center" vertical="center"/>
    </xf>
    <xf numFmtId="177" fontId="21" fillId="0" borderId="3" xfId="0" applyNumberFormat="1" applyFont="1" applyFill="1" applyBorder="1" applyAlignment="1">
      <alignment horizontal="left" vertical="center" wrapText="1"/>
    </xf>
    <xf numFmtId="177" fontId="21" fillId="0" borderId="3" xfId="0" applyNumberFormat="1" applyFont="1" applyFill="1" applyBorder="1" applyAlignment="1">
      <alignment horizontal="center" vertical="center" wrapText="1"/>
    </xf>
    <xf numFmtId="164" fontId="21" fillId="0" borderId="3" xfId="0" applyFont="1" applyFill="1" applyBorder="1" applyAlignment="1">
      <alignment/>
    </xf>
    <xf numFmtId="164" fontId="21" fillId="0" borderId="1" xfId="0" applyNumberFormat="1" applyFont="1" applyFill="1" applyBorder="1" applyAlignment="1">
      <alignment horizontal="center" vertical="center"/>
    </xf>
    <xf numFmtId="177" fontId="21" fillId="0" borderId="1" xfId="0" applyNumberFormat="1" applyFont="1" applyFill="1" applyBorder="1" applyAlignment="1">
      <alignment/>
    </xf>
    <xf numFmtId="177" fontId="21" fillId="0" borderId="1" xfId="0" applyNumberFormat="1" applyFont="1" applyBorder="1" applyAlignment="1">
      <alignment/>
    </xf>
    <xf numFmtId="164" fontId="21" fillId="0" borderId="1" xfId="0" applyFont="1" applyBorder="1" applyAlignment="1">
      <alignment/>
    </xf>
    <xf numFmtId="164" fontId="25" fillId="0" borderId="3" xfId="0" applyFont="1" applyFill="1" applyBorder="1" applyAlignment="1">
      <alignment horizontal="left" vertical="center"/>
    </xf>
    <xf numFmtId="164" fontId="25" fillId="0" borderId="3" xfId="0" applyFont="1" applyFill="1" applyBorder="1" applyAlignment="1">
      <alignment horizontal="left" vertical="center" wrapText="1"/>
    </xf>
    <xf numFmtId="164" fontId="21" fillId="0" borderId="3" xfId="0" applyFont="1" applyBorder="1" applyAlignment="1">
      <alignment/>
    </xf>
    <xf numFmtId="164" fontId="21" fillId="0" borderId="1" xfId="0" applyFont="1" applyFill="1" applyBorder="1" applyAlignment="1">
      <alignment horizontal="left" vertical="center"/>
    </xf>
    <xf numFmtId="164" fontId="21" fillId="0" borderId="1" xfId="0" applyFont="1" applyFill="1" applyBorder="1" applyAlignment="1">
      <alignment horizontal="right" vertical="center" wrapText="1"/>
    </xf>
    <xf numFmtId="164" fontId="21" fillId="0" borderId="0" xfId="0" applyFont="1" applyFill="1" applyBorder="1" applyAlignment="1">
      <alignment horizontal="left" vertical="center" indent="4"/>
    </xf>
    <xf numFmtId="164" fontId="25" fillId="0" borderId="0" xfId="0" applyFont="1" applyFill="1" applyBorder="1" applyAlignment="1">
      <alignment horizontal="center" wrapText="1"/>
    </xf>
    <xf numFmtId="164" fontId="21" fillId="0" borderId="0" xfId="0" applyFont="1" applyFill="1" applyBorder="1" applyAlignment="1">
      <alignment horizontal="right" vertical="center"/>
    </xf>
    <xf numFmtId="164" fontId="4" fillId="0" borderId="3" xfId="0" applyFont="1" applyFill="1" applyBorder="1" applyAlignment="1">
      <alignment horizontal="center"/>
    </xf>
    <xf numFmtId="164" fontId="4" fillId="0" borderId="6" xfId="0" applyFont="1" applyFill="1" applyBorder="1" applyAlignment="1">
      <alignment horizontal="center"/>
    </xf>
    <xf numFmtId="164" fontId="26" fillId="0" borderId="1" xfId="0" applyFont="1" applyFill="1" applyBorder="1" applyAlignment="1">
      <alignment horizontal="center" vertical="center" wrapText="1"/>
    </xf>
    <xf numFmtId="165" fontId="26" fillId="0" borderId="1" xfId="0" applyNumberFormat="1" applyFont="1" applyFill="1" applyBorder="1" applyAlignment="1">
      <alignment horizontal="center" vertical="center" wrapText="1"/>
    </xf>
    <xf numFmtId="164" fontId="26" fillId="0" borderId="1" xfId="0" applyFont="1" applyFill="1" applyBorder="1" applyAlignment="1">
      <alignment vertical="top" wrapText="1"/>
    </xf>
    <xf numFmtId="167" fontId="27" fillId="0" borderId="3" xfId="0" applyNumberFormat="1" applyFont="1" applyFill="1" applyBorder="1" applyAlignment="1">
      <alignment horizontal="center" vertical="center" wrapText="1"/>
    </xf>
    <xf numFmtId="164" fontId="28" fillId="0" borderId="3" xfId="0" applyFont="1" applyFill="1" applyBorder="1" applyAlignment="1">
      <alignment horizontal="center" vertical="center" wrapText="1"/>
    </xf>
    <xf numFmtId="167" fontId="0" fillId="0" borderId="2" xfId="0" applyNumberFormat="1" applyFont="1" applyFill="1" applyBorder="1" applyAlignment="1">
      <alignment horizontal="center" vertical="center" wrapText="1"/>
    </xf>
    <xf numFmtId="164" fontId="26" fillId="0" borderId="1" xfId="0" applyFont="1" applyFill="1" applyBorder="1" applyAlignment="1">
      <alignment horizontal="left" vertical="center" wrapText="1"/>
    </xf>
    <xf numFmtId="170" fontId="4" fillId="0" borderId="2" xfId="0" applyNumberFormat="1" applyFont="1" applyFill="1" applyBorder="1" applyAlignment="1">
      <alignment horizontal="center" vertical="center" wrapText="1"/>
    </xf>
    <xf numFmtId="167" fontId="12" fillId="0" borderId="2" xfId="0" applyNumberFormat="1" applyFont="1" applyFill="1" applyBorder="1" applyAlignment="1">
      <alignment horizontal="center" vertical="center" wrapText="1"/>
    </xf>
    <xf numFmtId="167" fontId="28" fillId="0" borderId="3" xfId="0" applyNumberFormat="1" applyFont="1" applyFill="1" applyBorder="1" applyAlignment="1">
      <alignment horizontal="center" vertical="center" wrapText="1"/>
    </xf>
    <xf numFmtId="164" fontId="29" fillId="0" borderId="1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/>
    </xf>
    <xf numFmtId="164" fontId="0" fillId="0" borderId="4" xfId="0" applyFont="1" applyFill="1" applyBorder="1" applyAlignment="1">
      <alignment horizontal="center" vertical="center" wrapText="1"/>
    </xf>
    <xf numFmtId="164" fontId="30" fillId="0" borderId="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&#1047;&#1072;&#1075;&#1088;&#1091;&#1079;&#1082;&#1080;\&#1048;&#1085;&#1074;&#1077;&#1089;&#1090;&#1080;&#1094;&#1080;&#1086;&#1085;&#1085;&#1072;&#1103;%20&#1087;&#1088;&#1086;&#1075;&#1088;&#1072;&#1084;&#1084;&#1072;%202012%20&#1073;&#1077;&#1079;%20&#1092;&#1086;&#1088;&#1084;&#1091;&#1083;%20&#1055;&#1054;&#1057;&#10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приложение 1.1"/>
      <sheetName val="приложение 1.2._2012"/>
      <sheetName val="приложение 1.3"/>
      <sheetName val="приложение 1.4"/>
      <sheetName val="приложение 2.2"/>
      <sheetName val="приложение 2.3"/>
      <sheetName val="приложение 3.1"/>
      <sheetName val="приложение 3.2"/>
      <sheetName val="приложение 4.1"/>
      <sheetName val="приложение 4.2"/>
      <sheetName val="приложение 4.3"/>
      <sheetName val="приложение 6.1"/>
      <sheetName val="приложение 6.3"/>
      <sheetName val="приложение 7.1"/>
      <sheetName val="приложение 7.2"/>
      <sheetName val="приложение 8"/>
      <sheetName val="приложение 9"/>
      <sheetName val="приложение 10"/>
      <sheetName val="приложение 11.1"/>
      <sheetName val="приложение 11.2"/>
      <sheetName val="приложение 12"/>
      <sheetName val="приложение 13"/>
      <sheetName val="приложение 14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50"/>
  <sheetViews>
    <sheetView tabSelected="1" zoomScale="63" zoomScaleNormal="63" zoomScaleSheetLayoutView="59" workbookViewId="0" topLeftCell="E1">
      <selection activeCell="B17" sqref="B17"/>
    </sheetView>
  </sheetViews>
  <sheetFormatPr defaultColWidth="9.00390625" defaultRowHeight="15.75"/>
  <cols>
    <col min="1" max="1" width="9.00390625" style="1" customWidth="1"/>
    <col min="2" max="2" width="78.125" style="1" customWidth="1"/>
    <col min="3" max="8" width="8.875" style="1" customWidth="1"/>
    <col min="9" max="9" width="13.00390625" style="1" customWidth="1"/>
    <col min="10" max="10" width="8.25390625" style="1" customWidth="1"/>
    <col min="11" max="14" width="8.875" style="1" customWidth="1"/>
    <col min="15" max="15" width="7.25390625" style="1" customWidth="1"/>
    <col min="16" max="16" width="8.375" style="1" customWidth="1"/>
    <col min="17" max="17" width="10.625" style="1" customWidth="1"/>
    <col min="18" max="18" width="5.00390625" style="1" customWidth="1"/>
    <col min="19" max="19" width="9.25390625" style="1" customWidth="1"/>
    <col min="20" max="20" width="9.75390625" style="1" customWidth="1"/>
    <col min="21" max="21" width="6.75390625" style="1" customWidth="1"/>
    <col min="22" max="28" width="8.75390625" style="1" customWidth="1"/>
    <col min="29" max="29" width="10.00390625" style="1" customWidth="1"/>
    <col min="30" max="34" width="8.75390625" style="1" customWidth="1"/>
    <col min="35" max="35" width="9.25390625" style="1" customWidth="1"/>
    <col min="36" max="16384" width="9.00390625" style="1" customWidth="1"/>
  </cols>
  <sheetData>
    <row r="1" spans="1:35" ht="32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27.75" customHeight="1">
      <c r="A2" s="3" t="s">
        <v>1</v>
      </c>
      <c r="B2" s="3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" t="s">
        <v>4</v>
      </c>
      <c r="R2" s="3"/>
      <c r="S2" s="3"/>
      <c r="T2" s="3"/>
      <c r="U2" s="3"/>
      <c r="V2" s="4" t="s">
        <v>5</v>
      </c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21" customHeight="1">
      <c r="A3" s="3"/>
      <c r="B3" s="3"/>
      <c r="C3" s="3" t="s">
        <v>6</v>
      </c>
      <c r="D3" s="3"/>
      <c r="E3" s="3"/>
      <c r="F3" s="3"/>
      <c r="G3" s="4" t="s">
        <v>7</v>
      </c>
      <c r="H3" s="4"/>
      <c r="I3" s="4"/>
      <c r="J3" s="4"/>
      <c r="K3" s="4" t="s">
        <v>8</v>
      </c>
      <c r="L3" s="4"/>
      <c r="M3" s="4"/>
      <c r="N3" s="4"/>
      <c r="O3" s="4"/>
      <c r="P3" s="5" t="s">
        <v>9</v>
      </c>
      <c r="Q3" s="3"/>
      <c r="R3" s="3"/>
      <c r="S3" s="3"/>
      <c r="T3" s="3"/>
      <c r="U3" s="3"/>
      <c r="V3" s="3" t="s">
        <v>6</v>
      </c>
      <c r="W3" s="3"/>
      <c r="X3" s="3"/>
      <c r="Y3" s="3"/>
      <c r="Z3" s="4" t="s">
        <v>7</v>
      </c>
      <c r="AA3" s="4"/>
      <c r="AB3" s="4"/>
      <c r="AC3" s="4"/>
      <c r="AD3" s="4" t="s">
        <v>8</v>
      </c>
      <c r="AE3" s="4"/>
      <c r="AF3" s="4"/>
      <c r="AG3" s="4"/>
      <c r="AH3" s="4"/>
      <c r="AI3" s="6" t="s">
        <v>10</v>
      </c>
    </row>
    <row r="4" spans="1:35" ht="62.25" customHeight="1">
      <c r="A4" s="3"/>
      <c r="B4" s="3" t="s">
        <v>11</v>
      </c>
      <c r="C4" s="5" t="s">
        <v>12</v>
      </c>
      <c r="D4" s="7" t="s">
        <v>13</v>
      </c>
      <c r="E4" s="8" t="s">
        <v>14</v>
      </c>
      <c r="F4" s="8" t="s">
        <v>15</v>
      </c>
      <c r="G4" s="5" t="s">
        <v>12</v>
      </c>
      <c r="H4" s="7" t="s">
        <v>13</v>
      </c>
      <c r="I4" s="7" t="s">
        <v>16</v>
      </c>
      <c r="J4" s="7" t="s">
        <v>17</v>
      </c>
      <c r="K4" s="5" t="s">
        <v>18</v>
      </c>
      <c r="L4" s="7" t="s">
        <v>13</v>
      </c>
      <c r="M4" s="9" t="s">
        <v>19</v>
      </c>
      <c r="N4" s="9" t="s">
        <v>20</v>
      </c>
      <c r="O4" s="7" t="s">
        <v>21</v>
      </c>
      <c r="P4" s="5"/>
      <c r="Q4" s="5" t="s">
        <v>22</v>
      </c>
      <c r="R4" s="5" t="s">
        <v>23</v>
      </c>
      <c r="S4" s="5" t="s">
        <v>24</v>
      </c>
      <c r="T4" s="5" t="s">
        <v>25</v>
      </c>
      <c r="U4" s="5" t="s">
        <v>26</v>
      </c>
      <c r="V4" s="5" t="s">
        <v>12</v>
      </c>
      <c r="W4" s="7" t="s">
        <v>27</v>
      </c>
      <c r="X4" s="8" t="s">
        <v>14</v>
      </c>
      <c r="Y4" s="8" t="s">
        <v>28</v>
      </c>
      <c r="Z4" s="5" t="s">
        <v>12</v>
      </c>
      <c r="AA4" s="7" t="s">
        <v>13</v>
      </c>
      <c r="AB4" s="7" t="s">
        <v>16</v>
      </c>
      <c r="AC4" s="7" t="s">
        <v>17</v>
      </c>
      <c r="AD4" s="5" t="s">
        <v>18</v>
      </c>
      <c r="AE4" s="7" t="s">
        <v>13</v>
      </c>
      <c r="AF4" s="9" t="s">
        <v>19</v>
      </c>
      <c r="AG4" s="5" t="s">
        <v>20</v>
      </c>
      <c r="AH4" s="7" t="s">
        <v>21</v>
      </c>
      <c r="AI4" s="6"/>
    </row>
    <row r="5" spans="1:35" ht="12.75">
      <c r="A5" s="3">
        <v>1</v>
      </c>
      <c r="B5" s="3" t="s">
        <v>29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 t="s">
        <v>30</v>
      </c>
      <c r="T5" s="3"/>
      <c r="U5" s="3"/>
      <c r="V5" s="3"/>
      <c r="W5" s="3"/>
      <c r="X5" s="3"/>
      <c r="Y5" s="3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ht="12.75">
      <c r="A6" s="11" t="s">
        <v>31</v>
      </c>
      <c r="B6" s="3" t="s">
        <v>32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11" t="s">
        <v>33</v>
      </c>
      <c r="B7" s="12" t="s">
        <v>34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12.75">
      <c r="A8" s="14"/>
      <c r="B8" s="15" t="s">
        <v>35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2.75">
      <c r="A9" s="8"/>
      <c r="B9" s="13" t="s">
        <v>36</v>
      </c>
      <c r="C9" s="13"/>
      <c r="D9" s="13"/>
      <c r="E9" s="13"/>
      <c r="F9" s="13"/>
      <c r="G9" s="13">
        <v>1975</v>
      </c>
      <c r="H9" s="8">
        <v>20</v>
      </c>
      <c r="I9" s="13"/>
      <c r="J9" s="13"/>
      <c r="K9" s="13"/>
      <c r="L9" s="13"/>
      <c r="M9" s="13"/>
      <c r="N9" s="13"/>
      <c r="O9" s="13"/>
      <c r="P9" s="13" t="s">
        <v>37</v>
      </c>
      <c r="Q9" s="16">
        <v>0.888</v>
      </c>
      <c r="R9" s="13"/>
      <c r="S9" s="16">
        <v>0.222</v>
      </c>
      <c r="T9" s="16">
        <v>0.666</v>
      </c>
      <c r="U9" s="13"/>
      <c r="V9" s="13"/>
      <c r="W9" s="13"/>
      <c r="X9" s="13"/>
      <c r="Y9" s="13"/>
      <c r="Z9" s="10">
        <v>2011</v>
      </c>
      <c r="AA9" s="10">
        <v>20</v>
      </c>
      <c r="AB9" s="10"/>
      <c r="AC9" s="10"/>
      <c r="AD9" s="10"/>
      <c r="AE9" s="10"/>
      <c r="AF9" s="10"/>
      <c r="AG9" s="10"/>
      <c r="AH9" s="10"/>
      <c r="AI9" s="10" t="s">
        <v>38</v>
      </c>
    </row>
    <row r="10" spans="1:35" ht="12.75">
      <c r="A10" s="8"/>
      <c r="B10" s="13" t="s">
        <v>39</v>
      </c>
      <c r="C10" s="13"/>
      <c r="D10" s="13"/>
      <c r="E10" s="13"/>
      <c r="F10" s="13"/>
      <c r="G10" s="13">
        <v>1983</v>
      </c>
      <c r="H10" s="8">
        <v>20</v>
      </c>
      <c r="I10" s="13"/>
      <c r="J10" s="13"/>
      <c r="K10" s="13"/>
      <c r="L10" s="13"/>
      <c r="M10" s="13"/>
      <c r="N10" s="13"/>
      <c r="O10" s="13"/>
      <c r="P10" s="13" t="s">
        <v>40</v>
      </c>
      <c r="Q10" s="16">
        <v>0.444</v>
      </c>
      <c r="R10" s="13"/>
      <c r="S10" s="16">
        <v>0.111</v>
      </c>
      <c r="T10" s="16">
        <v>0.333</v>
      </c>
      <c r="U10" s="13"/>
      <c r="V10" s="13"/>
      <c r="W10" s="13"/>
      <c r="X10" s="13"/>
      <c r="Y10" s="13"/>
      <c r="Z10" s="10">
        <v>2011</v>
      </c>
      <c r="AA10" s="10">
        <v>20</v>
      </c>
      <c r="AB10" s="10"/>
      <c r="AC10" s="10"/>
      <c r="AD10" s="10"/>
      <c r="AE10" s="10"/>
      <c r="AF10" s="10"/>
      <c r="AG10" s="10"/>
      <c r="AH10" s="10"/>
      <c r="AI10" s="10" t="s">
        <v>38</v>
      </c>
    </row>
    <row r="11" spans="1:35" ht="12.75">
      <c r="A11" s="8"/>
      <c r="B11" s="13" t="s">
        <v>41</v>
      </c>
      <c r="C11" s="13"/>
      <c r="D11" s="13"/>
      <c r="E11" s="13"/>
      <c r="F11" s="13"/>
      <c r="G11" s="13">
        <v>1976</v>
      </c>
      <c r="H11" s="8">
        <v>20</v>
      </c>
      <c r="I11" s="13"/>
      <c r="J11" s="13"/>
      <c r="K11" s="13"/>
      <c r="L11" s="13"/>
      <c r="M11" s="13"/>
      <c r="N11" s="13"/>
      <c r="O11" s="13"/>
      <c r="P11" s="13" t="s">
        <v>37</v>
      </c>
      <c r="Q11" s="16">
        <v>0.888</v>
      </c>
      <c r="R11" s="13"/>
      <c r="S11" s="16">
        <v>0.222</v>
      </c>
      <c r="T11" s="16">
        <v>0.666</v>
      </c>
      <c r="U11" s="13"/>
      <c r="V11" s="13"/>
      <c r="W11" s="13"/>
      <c r="X11" s="13"/>
      <c r="Y11" s="13"/>
      <c r="Z11" s="10">
        <v>2011</v>
      </c>
      <c r="AA11" s="10">
        <v>20</v>
      </c>
      <c r="AB11" s="10"/>
      <c r="AC11" s="10"/>
      <c r="AD11" s="10"/>
      <c r="AE11" s="10"/>
      <c r="AF11" s="10"/>
      <c r="AG11" s="10"/>
      <c r="AH11" s="10"/>
      <c r="AI11" s="10" t="s">
        <v>38</v>
      </c>
    </row>
    <row r="12" spans="1:35" ht="12.75">
      <c r="A12" s="8"/>
      <c r="B12" s="13" t="s">
        <v>42</v>
      </c>
      <c r="C12" s="13"/>
      <c r="D12" s="13"/>
      <c r="E12" s="13"/>
      <c r="F12" s="13"/>
      <c r="G12" s="13">
        <v>1965</v>
      </c>
      <c r="H12" s="8">
        <v>20</v>
      </c>
      <c r="I12" s="13"/>
      <c r="J12" s="13"/>
      <c r="K12" s="13"/>
      <c r="L12" s="13"/>
      <c r="M12" s="13"/>
      <c r="N12" s="13"/>
      <c r="O12" s="13"/>
      <c r="P12" s="13" t="s">
        <v>43</v>
      </c>
      <c r="Q12" s="16">
        <v>0.222</v>
      </c>
      <c r="R12" s="13"/>
      <c r="S12" s="16">
        <v>0.056</v>
      </c>
      <c r="T12" s="16">
        <v>0.166</v>
      </c>
      <c r="U12" s="13"/>
      <c r="V12" s="13"/>
      <c r="W12" s="13"/>
      <c r="X12" s="13"/>
      <c r="Y12" s="13"/>
      <c r="Z12" s="10">
        <v>2011</v>
      </c>
      <c r="AA12" s="10">
        <v>20</v>
      </c>
      <c r="AB12" s="10"/>
      <c r="AC12" s="10"/>
      <c r="AD12" s="10"/>
      <c r="AE12" s="10"/>
      <c r="AF12" s="10"/>
      <c r="AG12" s="10"/>
      <c r="AH12" s="10"/>
      <c r="AI12" s="10" t="s">
        <v>38</v>
      </c>
    </row>
    <row r="13" spans="1:35" ht="12.75">
      <c r="A13" s="8"/>
      <c r="B13" s="13" t="s">
        <v>44</v>
      </c>
      <c r="C13" s="13"/>
      <c r="D13" s="13"/>
      <c r="E13" s="13"/>
      <c r="F13" s="13"/>
      <c r="G13" s="13">
        <v>1978</v>
      </c>
      <c r="H13" s="8">
        <v>20</v>
      </c>
      <c r="I13" s="13"/>
      <c r="J13" s="13"/>
      <c r="K13" s="13"/>
      <c r="L13" s="13"/>
      <c r="M13" s="13"/>
      <c r="N13" s="13"/>
      <c r="O13" s="13"/>
      <c r="P13" s="13" t="s">
        <v>40</v>
      </c>
      <c r="Q13" s="16">
        <v>0.444</v>
      </c>
      <c r="R13" s="13"/>
      <c r="S13" s="16">
        <v>0.111</v>
      </c>
      <c r="T13" s="16">
        <v>0.333</v>
      </c>
      <c r="U13" s="13"/>
      <c r="V13" s="13"/>
      <c r="W13" s="13"/>
      <c r="X13" s="13"/>
      <c r="Y13" s="13"/>
      <c r="Z13" s="10">
        <v>2011</v>
      </c>
      <c r="AA13" s="10">
        <v>20</v>
      </c>
      <c r="AB13" s="10"/>
      <c r="AC13" s="10"/>
      <c r="AD13" s="10"/>
      <c r="AE13" s="10"/>
      <c r="AF13" s="10"/>
      <c r="AG13" s="10"/>
      <c r="AH13" s="10"/>
      <c r="AI13" s="10" t="s">
        <v>38</v>
      </c>
    </row>
    <row r="14" spans="1:35" ht="12.75">
      <c r="A14" s="8"/>
      <c r="B14" s="13" t="s">
        <v>45</v>
      </c>
      <c r="C14" s="13"/>
      <c r="D14" s="13"/>
      <c r="E14" s="13"/>
      <c r="F14" s="13"/>
      <c r="G14" s="13">
        <v>1985</v>
      </c>
      <c r="H14" s="8">
        <v>20</v>
      </c>
      <c r="I14" s="13"/>
      <c r="J14" s="13"/>
      <c r="K14" s="13"/>
      <c r="L14" s="13"/>
      <c r="M14" s="13"/>
      <c r="N14" s="13"/>
      <c r="O14" s="13"/>
      <c r="P14" s="13" t="s">
        <v>43</v>
      </c>
      <c r="Q14" s="16">
        <v>0.222</v>
      </c>
      <c r="R14" s="13"/>
      <c r="S14" s="16">
        <v>0.056</v>
      </c>
      <c r="T14" s="16">
        <v>0.166</v>
      </c>
      <c r="U14" s="13"/>
      <c r="V14" s="13"/>
      <c r="W14" s="13"/>
      <c r="X14" s="13"/>
      <c r="Y14" s="13"/>
      <c r="Z14" s="10">
        <v>2011</v>
      </c>
      <c r="AA14" s="10">
        <v>20</v>
      </c>
      <c r="AB14" s="10"/>
      <c r="AC14" s="10"/>
      <c r="AD14" s="10"/>
      <c r="AE14" s="10"/>
      <c r="AF14" s="10"/>
      <c r="AG14" s="10"/>
      <c r="AH14" s="10"/>
      <c r="AI14" s="10" t="s">
        <v>38</v>
      </c>
    </row>
    <row r="15" spans="1:35" s="20" customFormat="1" ht="12.75">
      <c r="A15" s="3"/>
      <c r="B15" s="3" t="s">
        <v>46</v>
      </c>
      <c r="C15" s="17"/>
      <c r="D15" s="17"/>
      <c r="E15" s="17"/>
      <c r="F15" s="17"/>
      <c r="G15" s="17"/>
      <c r="H15" s="3"/>
      <c r="I15" s="17"/>
      <c r="J15" s="17"/>
      <c r="K15" s="17"/>
      <c r="L15" s="17"/>
      <c r="M15" s="17"/>
      <c r="N15" s="17"/>
      <c r="O15" s="17"/>
      <c r="P15" s="17"/>
      <c r="Q15" s="18">
        <v>3.108</v>
      </c>
      <c r="R15" s="17"/>
      <c r="S15" s="18"/>
      <c r="T15" s="18"/>
      <c r="U15" s="17"/>
      <c r="V15" s="17"/>
      <c r="W15" s="17"/>
      <c r="X15" s="17"/>
      <c r="Y15" s="17"/>
      <c r="Z15" s="19"/>
      <c r="AA15" s="19"/>
      <c r="AB15" s="19"/>
      <c r="AC15" s="19"/>
      <c r="AD15" s="19"/>
      <c r="AE15" s="19"/>
      <c r="AF15" s="19"/>
      <c r="AG15" s="19"/>
      <c r="AH15" s="19"/>
      <c r="AI15" s="19"/>
    </row>
    <row r="16" spans="1:35" ht="12.75">
      <c r="A16" s="14"/>
      <c r="B16" s="15" t="s">
        <v>47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6"/>
      <c r="R16" s="13"/>
      <c r="S16" s="16"/>
      <c r="T16" s="16"/>
      <c r="U16" s="13"/>
      <c r="V16" s="13"/>
      <c r="W16" s="13"/>
      <c r="X16" s="13"/>
      <c r="Y16" s="13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spans="1:35" ht="12.75">
      <c r="A17" s="8"/>
      <c r="B17" s="13" t="s">
        <v>48</v>
      </c>
      <c r="C17" s="13"/>
      <c r="D17" s="13"/>
      <c r="E17" s="13"/>
      <c r="F17" s="13"/>
      <c r="G17" s="13">
        <v>1958</v>
      </c>
      <c r="H17" s="8">
        <v>20</v>
      </c>
      <c r="I17" s="13"/>
      <c r="J17" s="13"/>
      <c r="K17" s="13"/>
      <c r="L17" s="13"/>
      <c r="M17" s="13"/>
      <c r="N17" s="13"/>
      <c r="O17" s="13"/>
      <c r="P17" s="13" t="s">
        <v>40</v>
      </c>
      <c r="Q17" s="16">
        <v>0.444</v>
      </c>
      <c r="R17" s="13"/>
      <c r="S17" s="16">
        <v>0.111</v>
      </c>
      <c r="T17" s="16">
        <v>0.333</v>
      </c>
      <c r="U17" s="13"/>
      <c r="V17" s="13"/>
      <c r="W17" s="13"/>
      <c r="X17" s="13"/>
      <c r="Y17" s="13"/>
      <c r="Z17" s="10">
        <v>2011</v>
      </c>
      <c r="AA17" s="10">
        <v>20</v>
      </c>
      <c r="AB17" s="10"/>
      <c r="AC17" s="10"/>
      <c r="AD17" s="10"/>
      <c r="AE17" s="10"/>
      <c r="AF17" s="10"/>
      <c r="AG17" s="10"/>
      <c r="AH17" s="10"/>
      <c r="AI17" s="10" t="s">
        <v>38</v>
      </c>
    </row>
    <row r="18" spans="1:35" ht="12.75">
      <c r="A18" s="8"/>
      <c r="B18" s="13" t="s">
        <v>49</v>
      </c>
      <c r="C18" s="13"/>
      <c r="D18" s="13"/>
      <c r="E18" s="13"/>
      <c r="F18" s="13"/>
      <c r="G18" s="13">
        <v>1989</v>
      </c>
      <c r="H18" s="8">
        <v>20</v>
      </c>
      <c r="I18" s="13"/>
      <c r="J18" s="13"/>
      <c r="K18" s="13"/>
      <c r="L18" s="13"/>
      <c r="M18" s="13"/>
      <c r="N18" s="13"/>
      <c r="O18" s="13"/>
      <c r="P18" s="13" t="s">
        <v>40</v>
      </c>
      <c r="Q18" s="16">
        <v>0.444</v>
      </c>
      <c r="R18" s="13"/>
      <c r="S18" s="16">
        <v>0.111</v>
      </c>
      <c r="T18" s="16">
        <v>0.333</v>
      </c>
      <c r="U18" s="13"/>
      <c r="V18" s="13"/>
      <c r="W18" s="13"/>
      <c r="X18" s="13"/>
      <c r="Y18" s="13"/>
      <c r="Z18" s="10">
        <v>2011</v>
      </c>
      <c r="AA18" s="10">
        <v>20</v>
      </c>
      <c r="AB18" s="10"/>
      <c r="AC18" s="10"/>
      <c r="AD18" s="10"/>
      <c r="AE18" s="10"/>
      <c r="AF18" s="10"/>
      <c r="AG18" s="10"/>
      <c r="AH18" s="10"/>
      <c r="AI18" s="10" t="s">
        <v>38</v>
      </c>
    </row>
    <row r="19" spans="1:35" s="20" customFormat="1" ht="12.75">
      <c r="A19" s="3"/>
      <c r="B19" s="3" t="s">
        <v>50</v>
      </c>
      <c r="C19" s="17"/>
      <c r="D19" s="17"/>
      <c r="E19" s="17"/>
      <c r="F19" s="17"/>
      <c r="G19" s="17"/>
      <c r="H19" s="3"/>
      <c r="I19" s="17"/>
      <c r="J19" s="17"/>
      <c r="K19" s="17"/>
      <c r="L19" s="17"/>
      <c r="M19" s="17"/>
      <c r="N19" s="17"/>
      <c r="O19" s="17"/>
      <c r="P19" s="17"/>
      <c r="Q19" s="18">
        <v>0.888</v>
      </c>
      <c r="R19" s="17"/>
      <c r="S19" s="18"/>
      <c r="T19" s="18"/>
      <c r="U19" s="17"/>
      <c r="V19" s="17"/>
      <c r="W19" s="17"/>
      <c r="X19" s="17"/>
      <c r="Y19" s="17"/>
      <c r="Z19" s="19"/>
      <c r="AA19" s="19"/>
      <c r="AB19" s="19"/>
      <c r="AC19" s="19"/>
      <c r="AD19" s="19"/>
      <c r="AE19" s="19"/>
      <c r="AF19" s="19"/>
      <c r="AG19" s="19"/>
      <c r="AH19" s="19"/>
      <c r="AI19" s="19"/>
    </row>
    <row r="20" spans="1:35" s="20" customFormat="1" ht="12.75">
      <c r="A20" s="3"/>
      <c r="B20" s="3" t="s">
        <v>51</v>
      </c>
      <c r="C20" s="17"/>
      <c r="D20" s="17"/>
      <c r="E20" s="17"/>
      <c r="F20" s="17"/>
      <c r="G20" s="17"/>
      <c r="H20" s="3"/>
      <c r="I20" s="17"/>
      <c r="J20" s="17"/>
      <c r="K20" s="17"/>
      <c r="L20" s="17"/>
      <c r="M20" s="17"/>
      <c r="N20" s="17"/>
      <c r="O20" s="17"/>
      <c r="P20" s="17"/>
      <c r="Q20" s="18">
        <v>3.996</v>
      </c>
      <c r="R20" s="17"/>
      <c r="S20" s="18"/>
      <c r="T20" s="18"/>
      <c r="U20" s="17"/>
      <c r="V20" s="17"/>
      <c r="W20" s="17"/>
      <c r="X20" s="17"/>
      <c r="Y20" s="17"/>
      <c r="Z20" s="19"/>
      <c r="AA20" s="19"/>
      <c r="AB20" s="19"/>
      <c r="AC20" s="19"/>
      <c r="AD20" s="19"/>
      <c r="AE20" s="19"/>
      <c r="AF20" s="19"/>
      <c r="AG20" s="19"/>
      <c r="AH20" s="19"/>
      <c r="AI20" s="19"/>
    </row>
    <row r="21" spans="1:35" ht="29.25" customHeight="1">
      <c r="A21" s="11" t="s">
        <v>52</v>
      </c>
      <c r="B21" s="12" t="s">
        <v>53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10"/>
      <c r="AA21" s="10"/>
      <c r="AB21" s="10"/>
      <c r="AC21" s="10"/>
      <c r="AD21" s="8"/>
      <c r="AE21" s="8"/>
      <c r="AF21" s="10"/>
      <c r="AG21" s="8"/>
      <c r="AH21" s="8"/>
      <c r="AI21" s="8"/>
    </row>
    <row r="22" spans="1:35" ht="12.75">
      <c r="A22" s="11"/>
      <c r="B22" s="15" t="s">
        <v>35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0"/>
      <c r="AA22" s="10"/>
      <c r="AB22" s="10"/>
      <c r="AC22" s="10"/>
      <c r="AD22" s="8"/>
      <c r="AE22" s="8"/>
      <c r="AF22" s="10"/>
      <c r="AG22" s="8"/>
      <c r="AH22" s="8"/>
      <c r="AI22" s="8"/>
    </row>
    <row r="23" spans="1:35" ht="12.75">
      <c r="A23" s="8"/>
      <c r="B23" s="13" t="s">
        <v>54</v>
      </c>
      <c r="C23" s="13"/>
      <c r="D23" s="13"/>
      <c r="E23" s="13"/>
      <c r="F23" s="13"/>
      <c r="G23" s="13"/>
      <c r="H23" s="13"/>
      <c r="I23" s="13"/>
      <c r="J23" s="13"/>
      <c r="K23" s="8">
        <v>1980</v>
      </c>
      <c r="L23" s="8">
        <v>30</v>
      </c>
      <c r="M23" s="8"/>
      <c r="N23" s="8" t="s">
        <v>55</v>
      </c>
      <c r="O23" s="8">
        <v>0.52</v>
      </c>
      <c r="P23" s="13"/>
      <c r="Q23" s="16">
        <v>0.922</v>
      </c>
      <c r="R23" s="13"/>
      <c r="S23" s="21">
        <v>0.3688</v>
      </c>
      <c r="T23" s="22">
        <v>0.5532</v>
      </c>
      <c r="U23" s="13"/>
      <c r="V23" s="13"/>
      <c r="W23" s="13"/>
      <c r="X23" s="13"/>
      <c r="Y23" s="13"/>
      <c r="Z23" s="10"/>
      <c r="AA23" s="10"/>
      <c r="AB23" s="10"/>
      <c r="AC23" s="10"/>
      <c r="AD23" s="8">
        <v>2011</v>
      </c>
      <c r="AE23" s="8">
        <v>30</v>
      </c>
      <c r="AF23" s="10"/>
      <c r="AG23" s="8" t="s">
        <v>56</v>
      </c>
      <c r="AH23" s="8">
        <v>0.52</v>
      </c>
      <c r="AI23" s="8"/>
    </row>
    <row r="24" spans="1:35" ht="12.75">
      <c r="A24" s="8"/>
      <c r="B24" s="13" t="s">
        <v>57</v>
      </c>
      <c r="C24" s="13"/>
      <c r="D24" s="13"/>
      <c r="E24" s="13"/>
      <c r="F24" s="13"/>
      <c r="G24" s="13"/>
      <c r="H24" s="13"/>
      <c r="I24" s="13"/>
      <c r="J24" s="13"/>
      <c r="K24" s="8">
        <v>1980</v>
      </c>
      <c r="L24" s="8">
        <v>30</v>
      </c>
      <c r="M24" s="8"/>
      <c r="N24" s="8" t="s">
        <v>58</v>
      </c>
      <c r="O24" s="8">
        <v>0.4</v>
      </c>
      <c r="P24" s="13"/>
      <c r="Q24" s="16">
        <v>0.64</v>
      </c>
      <c r="R24" s="13"/>
      <c r="S24" s="21">
        <v>0.256</v>
      </c>
      <c r="T24" s="8">
        <v>0.384</v>
      </c>
      <c r="U24" s="13"/>
      <c r="V24" s="13"/>
      <c r="W24" s="13"/>
      <c r="X24" s="13"/>
      <c r="Y24" s="13"/>
      <c r="Z24" s="10"/>
      <c r="AA24" s="10"/>
      <c r="AB24" s="10"/>
      <c r="AC24" s="10"/>
      <c r="AD24" s="8">
        <v>2011</v>
      </c>
      <c r="AE24" s="8">
        <v>30</v>
      </c>
      <c r="AF24" s="10"/>
      <c r="AG24" s="8" t="s">
        <v>59</v>
      </c>
      <c r="AH24" s="8">
        <v>0.4</v>
      </c>
      <c r="AI24" s="8"/>
    </row>
    <row r="25" spans="1:35" ht="12.75">
      <c r="A25" s="8"/>
      <c r="B25" s="13" t="s">
        <v>60</v>
      </c>
      <c r="C25" s="13"/>
      <c r="D25" s="13"/>
      <c r="E25" s="13"/>
      <c r="F25" s="13"/>
      <c r="G25" s="13"/>
      <c r="H25" s="13"/>
      <c r="I25" s="13"/>
      <c r="J25" s="13"/>
      <c r="K25" s="8">
        <v>1959</v>
      </c>
      <c r="L25" s="8">
        <v>30</v>
      </c>
      <c r="M25" s="8"/>
      <c r="N25" s="8" t="s">
        <v>61</v>
      </c>
      <c r="O25" s="8">
        <v>0.096</v>
      </c>
      <c r="P25" s="13"/>
      <c r="Q25" s="16">
        <v>0.48</v>
      </c>
      <c r="R25" s="13"/>
      <c r="S25" s="21">
        <v>0.192</v>
      </c>
      <c r="T25" s="8">
        <v>0.288</v>
      </c>
      <c r="U25" s="13"/>
      <c r="V25" s="13"/>
      <c r="W25" s="13"/>
      <c r="X25" s="13"/>
      <c r="Y25" s="13"/>
      <c r="Z25" s="10"/>
      <c r="AA25" s="10"/>
      <c r="AB25" s="10"/>
      <c r="AC25" s="10"/>
      <c r="AD25" s="8">
        <v>2011</v>
      </c>
      <c r="AE25" s="8">
        <v>30</v>
      </c>
      <c r="AF25" s="10"/>
      <c r="AG25" s="8" t="s">
        <v>59</v>
      </c>
      <c r="AH25" s="8">
        <v>0.3</v>
      </c>
      <c r="AI25" s="8"/>
    </row>
    <row r="26" spans="1:35" ht="12.75">
      <c r="A26" s="8"/>
      <c r="B26" s="13" t="s">
        <v>62</v>
      </c>
      <c r="C26" s="13"/>
      <c r="D26" s="13"/>
      <c r="E26" s="13"/>
      <c r="F26" s="13"/>
      <c r="G26" s="13"/>
      <c r="H26" s="13"/>
      <c r="I26" s="13"/>
      <c r="J26" s="13"/>
      <c r="K26" s="8">
        <v>1949</v>
      </c>
      <c r="L26" s="8">
        <v>30</v>
      </c>
      <c r="M26" s="8"/>
      <c r="N26" s="8" t="s">
        <v>63</v>
      </c>
      <c r="O26" s="23">
        <v>0.075</v>
      </c>
      <c r="P26" s="13"/>
      <c r="Q26" s="16">
        <v>0.128</v>
      </c>
      <c r="R26" s="13"/>
      <c r="S26" s="21">
        <v>0.0512</v>
      </c>
      <c r="T26" s="22">
        <v>0.0768</v>
      </c>
      <c r="U26" s="13"/>
      <c r="V26" s="13"/>
      <c r="W26" s="13"/>
      <c r="X26" s="13"/>
      <c r="Y26" s="13"/>
      <c r="Z26" s="10"/>
      <c r="AA26" s="10"/>
      <c r="AB26" s="10"/>
      <c r="AC26" s="10"/>
      <c r="AD26" s="8">
        <v>2011</v>
      </c>
      <c r="AE26" s="8">
        <v>30</v>
      </c>
      <c r="AF26" s="10"/>
      <c r="AG26" s="8" t="s">
        <v>59</v>
      </c>
      <c r="AH26" s="8">
        <v>0.08</v>
      </c>
      <c r="AI26" s="8"/>
    </row>
    <row r="27" spans="1:35" ht="12.75">
      <c r="A27" s="8"/>
      <c r="B27" s="13" t="s">
        <v>64</v>
      </c>
      <c r="C27" s="13"/>
      <c r="D27" s="13"/>
      <c r="E27" s="13"/>
      <c r="F27" s="13"/>
      <c r="G27" s="13"/>
      <c r="H27" s="13"/>
      <c r="I27" s="13"/>
      <c r="J27" s="13"/>
      <c r="K27" s="8">
        <v>1972</v>
      </c>
      <c r="L27" s="8">
        <v>30</v>
      </c>
      <c r="M27" s="8"/>
      <c r="N27" s="8" t="s">
        <v>65</v>
      </c>
      <c r="O27" s="8">
        <v>0.35</v>
      </c>
      <c r="P27" s="13"/>
      <c r="Q27" s="16">
        <v>0.5760000000000001</v>
      </c>
      <c r="R27" s="13"/>
      <c r="S27" s="21">
        <v>0.23</v>
      </c>
      <c r="T27" s="22">
        <v>0.3456</v>
      </c>
      <c r="U27" s="16"/>
      <c r="V27" s="13"/>
      <c r="W27" s="13"/>
      <c r="X27" s="13"/>
      <c r="Y27" s="13"/>
      <c r="Z27" s="10"/>
      <c r="AA27" s="10"/>
      <c r="AB27" s="10"/>
      <c r="AC27" s="10"/>
      <c r="AD27" s="8">
        <v>2011</v>
      </c>
      <c r="AE27" s="8">
        <v>30</v>
      </c>
      <c r="AF27" s="10"/>
      <c r="AG27" s="8" t="s">
        <v>66</v>
      </c>
      <c r="AH27" s="8">
        <v>0.36</v>
      </c>
      <c r="AI27" s="8"/>
    </row>
    <row r="28" spans="1:35" ht="12.75">
      <c r="A28" s="8"/>
      <c r="B28" s="13" t="s">
        <v>67</v>
      </c>
      <c r="C28" s="13"/>
      <c r="D28" s="13"/>
      <c r="E28" s="13"/>
      <c r="F28" s="13"/>
      <c r="G28" s="13"/>
      <c r="H28" s="13"/>
      <c r="I28" s="13"/>
      <c r="J28" s="13"/>
      <c r="K28" s="8">
        <v>1993</v>
      </c>
      <c r="L28" s="8">
        <v>30</v>
      </c>
      <c r="M28" s="8"/>
      <c r="N28" s="8" t="s">
        <v>68</v>
      </c>
      <c r="O28" s="8" t="s">
        <v>69</v>
      </c>
      <c r="P28" s="13"/>
      <c r="Q28" s="16">
        <v>0.224</v>
      </c>
      <c r="R28" s="13"/>
      <c r="S28" s="21">
        <v>0.0896</v>
      </c>
      <c r="T28" s="22">
        <v>0.1344</v>
      </c>
      <c r="U28" s="13"/>
      <c r="V28" s="13"/>
      <c r="W28" s="13"/>
      <c r="X28" s="13"/>
      <c r="Y28" s="13"/>
      <c r="Z28" s="10"/>
      <c r="AA28" s="10"/>
      <c r="AB28" s="10"/>
      <c r="AC28" s="10"/>
      <c r="AD28" s="8">
        <v>2011</v>
      </c>
      <c r="AE28" s="8">
        <v>30</v>
      </c>
      <c r="AF28" s="10"/>
      <c r="AG28" s="8" t="s">
        <v>70</v>
      </c>
      <c r="AH28" s="8">
        <v>0.14</v>
      </c>
      <c r="AI28" s="8"/>
    </row>
    <row r="29" spans="1:35" ht="12.75">
      <c r="A29" s="8"/>
      <c r="B29" s="13" t="s">
        <v>71</v>
      </c>
      <c r="C29" s="13"/>
      <c r="D29" s="13"/>
      <c r="E29" s="13"/>
      <c r="F29" s="13"/>
      <c r="G29" s="13"/>
      <c r="H29" s="13"/>
      <c r="I29" s="13"/>
      <c r="J29" s="13"/>
      <c r="K29" s="8">
        <v>1971</v>
      </c>
      <c r="L29" s="8">
        <v>30</v>
      </c>
      <c r="M29" s="8"/>
      <c r="N29" s="8" t="s">
        <v>72</v>
      </c>
      <c r="O29" s="8">
        <v>0.07</v>
      </c>
      <c r="P29" s="13"/>
      <c r="Q29" s="16">
        <v>0.48</v>
      </c>
      <c r="R29" s="13"/>
      <c r="S29" s="21">
        <v>0.192</v>
      </c>
      <c r="T29" s="22">
        <v>0.288</v>
      </c>
      <c r="U29" s="13"/>
      <c r="V29" s="13"/>
      <c r="W29" s="13"/>
      <c r="X29" s="13"/>
      <c r="Y29" s="13"/>
      <c r="Z29" s="10"/>
      <c r="AA29" s="10"/>
      <c r="AB29" s="10"/>
      <c r="AC29" s="10"/>
      <c r="AD29" s="8">
        <v>2011</v>
      </c>
      <c r="AE29" s="8">
        <v>30</v>
      </c>
      <c r="AF29" s="10"/>
      <c r="AG29" s="8" t="s">
        <v>59</v>
      </c>
      <c r="AH29" s="8">
        <v>0.3</v>
      </c>
      <c r="AI29" s="8"/>
    </row>
    <row r="30" spans="1:35" s="20" customFormat="1" ht="12.75">
      <c r="A30" s="3"/>
      <c r="B30" s="3" t="s">
        <v>46</v>
      </c>
      <c r="C30" s="17"/>
      <c r="D30" s="17"/>
      <c r="E30" s="17"/>
      <c r="F30" s="17"/>
      <c r="G30" s="17"/>
      <c r="H30" s="17"/>
      <c r="I30" s="17"/>
      <c r="J30" s="17"/>
      <c r="K30" s="3"/>
      <c r="L30" s="3"/>
      <c r="M30" s="3"/>
      <c r="N30" s="3"/>
      <c r="O30" s="24">
        <v>1.642</v>
      </c>
      <c r="P30" s="17"/>
      <c r="Q30" s="18">
        <v>3.45</v>
      </c>
      <c r="R30" s="17"/>
      <c r="S30" s="25"/>
      <c r="T30" s="26"/>
      <c r="U30" s="17"/>
      <c r="V30" s="17"/>
      <c r="W30" s="17"/>
      <c r="X30" s="17"/>
      <c r="Y30" s="17"/>
      <c r="Z30" s="19"/>
      <c r="AA30" s="19"/>
      <c r="AB30" s="19"/>
      <c r="AC30" s="19"/>
      <c r="AD30" s="3"/>
      <c r="AE30" s="3"/>
      <c r="AF30" s="19"/>
      <c r="AG30" s="3"/>
      <c r="AH30" s="24">
        <v>2.1</v>
      </c>
      <c r="AI30" s="3"/>
    </row>
    <row r="31" spans="1:35" ht="12.75">
      <c r="A31" s="14"/>
      <c r="B31" s="15" t="s">
        <v>47</v>
      </c>
      <c r="C31" s="13"/>
      <c r="D31" s="13"/>
      <c r="E31" s="13"/>
      <c r="F31" s="13"/>
      <c r="G31" s="13"/>
      <c r="H31" s="13"/>
      <c r="I31" s="13"/>
      <c r="J31" s="13"/>
      <c r="K31" s="8"/>
      <c r="L31" s="8"/>
      <c r="M31" s="8"/>
      <c r="N31" s="8"/>
      <c r="O31" s="24"/>
      <c r="P31" s="13"/>
      <c r="Q31" s="16"/>
      <c r="R31" s="13"/>
      <c r="S31" s="21"/>
      <c r="T31" s="22"/>
      <c r="U31" s="13"/>
      <c r="V31" s="13"/>
      <c r="W31" s="13"/>
      <c r="X31" s="13"/>
      <c r="Y31" s="13"/>
      <c r="Z31" s="10"/>
      <c r="AA31" s="10"/>
      <c r="AB31" s="10"/>
      <c r="AC31" s="10"/>
      <c r="AD31" s="8"/>
      <c r="AE31" s="8"/>
      <c r="AF31" s="10"/>
      <c r="AG31" s="8"/>
      <c r="AH31" s="24"/>
      <c r="AI31" s="8"/>
    </row>
    <row r="32" spans="1:35" ht="12.75">
      <c r="A32" s="8"/>
      <c r="B32" s="13" t="s">
        <v>73</v>
      </c>
      <c r="C32" s="13"/>
      <c r="D32" s="13"/>
      <c r="E32" s="13"/>
      <c r="F32" s="13"/>
      <c r="G32" s="13"/>
      <c r="H32" s="13"/>
      <c r="I32" s="13"/>
      <c r="J32" s="13"/>
      <c r="K32" s="8">
        <v>1973</v>
      </c>
      <c r="L32" s="8">
        <v>25</v>
      </c>
      <c r="M32" s="8"/>
      <c r="N32" s="8" t="s">
        <v>74</v>
      </c>
      <c r="O32" s="8">
        <v>0.7</v>
      </c>
      <c r="P32" s="13"/>
      <c r="Q32" s="27">
        <v>1.2</v>
      </c>
      <c r="R32" s="13"/>
      <c r="S32" s="21">
        <v>0.48</v>
      </c>
      <c r="T32" s="22">
        <v>0.72</v>
      </c>
      <c r="U32" s="13"/>
      <c r="V32" s="13"/>
      <c r="W32" s="13"/>
      <c r="X32" s="13"/>
      <c r="Y32" s="13"/>
      <c r="Z32" s="10"/>
      <c r="AA32" s="10"/>
      <c r="AB32" s="10"/>
      <c r="AC32" s="10"/>
      <c r="AD32" s="8">
        <v>2011</v>
      </c>
      <c r="AE32" s="8">
        <v>25</v>
      </c>
      <c r="AF32" s="10"/>
      <c r="AG32" s="8" t="s">
        <v>75</v>
      </c>
      <c r="AH32" s="28">
        <v>0.7</v>
      </c>
      <c r="AI32" s="8"/>
    </row>
    <row r="33" spans="1:35" s="20" customFormat="1" ht="12.75">
      <c r="A33" s="3"/>
      <c r="B33" s="3" t="s">
        <v>50</v>
      </c>
      <c r="C33" s="17"/>
      <c r="D33" s="17"/>
      <c r="E33" s="17"/>
      <c r="F33" s="17"/>
      <c r="G33" s="17"/>
      <c r="H33" s="17"/>
      <c r="I33" s="17"/>
      <c r="J33" s="17"/>
      <c r="K33" s="3"/>
      <c r="L33" s="3"/>
      <c r="M33" s="3"/>
      <c r="N33" s="3"/>
      <c r="O33" s="3">
        <v>0.7</v>
      </c>
      <c r="P33" s="17"/>
      <c r="Q33" s="29">
        <v>1.2</v>
      </c>
      <c r="R33" s="17"/>
      <c r="S33" s="25"/>
      <c r="T33" s="26"/>
      <c r="U33" s="17"/>
      <c r="V33" s="17"/>
      <c r="W33" s="17"/>
      <c r="X33" s="17"/>
      <c r="Y33" s="17"/>
      <c r="Z33" s="19"/>
      <c r="AA33" s="19"/>
      <c r="AB33" s="19"/>
      <c r="AC33" s="19"/>
      <c r="AD33" s="3"/>
      <c r="AE33" s="3"/>
      <c r="AF33" s="19"/>
      <c r="AG33" s="3"/>
      <c r="AH33" s="30">
        <v>0.7</v>
      </c>
      <c r="AI33" s="3"/>
    </row>
    <row r="34" spans="1:35" s="20" customFormat="1" ht="12.75">
      <c r="A34" s="3"/>
      <c r="B34" s="3" t="s">
        <v>51</v>
      </c>
      <c r="C34" s="17"/>
      <c r="D34" s="17"/>
      <c r="E34" s="17"/>
      <c r="F34" s="17"/>
      <c r="G34" s="17"/>
      <c r="H34" s="17"/>
      <c r="I34" s="17"/>
      <c r="J34" s="17"/>
      <c r="K34" s="3"/>
      <c r="L34" s="3"/>
      <c r="M34" s="3"/>
      <c r="N34" s="3"/>
      <c r="O34" s="24">
        <v>2.3419999999999996</v>
      </c>
      <c r="P34" s="17"/>
      <c r="Q34" s="18">
        <v>4.65</v>
      </c>
      <c r="R34" s="17"/>
      <c r="S34" s="25"/>
      <c r="T34" s="26"/>
      <c r="U34" s="17"/>
      <c r="V34" s="17"/>
      <c r="W34" s="17"/>
      <c r="X34" s="17"/>
      <c r="Y34" s="17"/>
      <c r="Z34" s="19"/>
      <c r="AA34" s="19"/>
      <c r="AB34" s="19"/>
      <c r="AC34" s="19"/>
      <c r="AD34" s="3"/>
      <c r="AE34" s="3"/>
      <c r="AF34" s="19"/>
      <c r="AG34" s="3"/>
      <c r="AH34" s="30">
        <v>2.8</v>
      </c>
      <c r="AI34" s="3"/>
    </row>
    <row r="35" spans="1:35" ht="12.75">
      <c r="A35" s="11" t="s">
        <v>76</v>
      </c>
      <c r="B35" s="31" t="s">
        <v>77</v>
      </c>
      <c r="C35" s="13"/>
      <c r="D35" s="13"/>
      <c r="E35" s="13"/>
      <c r="F35" s="13"/>
      <c r="G35" s="13"/>
      <c r="H35" s="13"/>
      <c r="I35" s="13"/>
      <c r="J35" s="13"/>
      <c r="K35" s="8"/>
      <c r="L35" s="8"/>
      <c r="M35" s="26"/>
      <c r="N35" s="8"/>
      <c r="O35" s="24"/>
      <c r="P35" s="13"/>
      <c r="Q35" s="13"/>
      <c r="R35" s="13"/>
      <c r="S35" s="13"/>
      <c r="T35" s="22"/>
      <c r="U35" s="13"/>
      <c r="V35" s="13"/>
      <c r="W35" s="13"/>
      <c r="X35" s="13"/>
      <c r="Y35" s="13"/>
      <c r="Z35" s="10"/>
      <c r="AA35" s="10"/>
      <c r="AB35" s="10"/>
      <c r="AC35" s="10"/>
      <c r="AD35" s="8"/>
      <c r="AE35" s="8"/>
      <c r="AF35" s="26"/>
      <c r="AG35" s="8"/>
      <c r="AH35" s="30"/>
      <c r="AI35" s="8"/>
    </row>
    <row r="36" spans="1:35" ht="12.75">
      <c r="A36" s="14"/>
      <c r="B36" s="15" t="s">
        <v>35</v>
      </c>
      <c r="C36" s="13"/>
      <c r="D36" s="13"/>
      <c r="E36" s="13"/>
      <c r="F36" s="13"/>
      <c r="G36" s="13"/>
      <c r="H36" s="13"/>
      <c r="I36" s="13"/>
      <c r="J36" s="13"/>
      <c r="K36" s="8"/>
      <c r="L36" s="8"/>
      <c r="M36" s="8"/>
      <c r="N36" s="8"/>
      <c r="O36" s="8"/>
      <c r="P36" s="13"/>
      <c r="Q36" s="13"/>
      <c r="R36" s="13"/>
      <c r="S36" s="13"/>
      <c r="T36" s="22"/>
      <c r="U36" s="13"/>
      <c r="V36" s="13"/>
      <c r="W36" s="13"/>
      <c r="X36" s="13"/>
      <c r="Y36" s="13"/>
      <c r="Z36" s="10"/>
      <c r="AA36" s="10"/>
      <c r="AB36" s="10"/>
      <c r="AC36" s="10"/>
      <c r="AD36" s="8"/>
      <c r="AE36" s="8"/>
      <c r="AF36" s="10"/>
      <c r="AG36" s="8"/>
      <c r="AH36" s="8"/>
      <c r="AI36" s="8"/>
    </row>
    <row r="37" spans="1:35" ht="12.75">
      <c r="A37" s="8"/>
      <c r="B37" s="13" t="s">
        <v>78</v>
      </c>
      <c r="C37" s="13"/>
      <c r="D37" s="13"/>
      <c r="E37" s="13"/>
      <c r="F37" s="13"/>
      <c r="G37" s="13"/>
      <c r="H37" s="13"/>
      <c r="I37" s="13"/>
      <c r="J37" s="13"/>
      <c r="K37" s="8" t="s">
        <v>79</v>
      </c>
      <c r="L37" s="8" t="s">
        <v>80</v>
      </c>
      <c r="M37" s="8" t="s">
        <v>81</v>
      </c>
      <c r="N37" s="8" t="s">
        <v>82</v>
      </c>
      <c r="O37" s="8">
        <v>0.85</v>
      </c>
      <c r="P37" s="13"/>
      <c r="Q37" s="16">
        <v>0.733</v>
      </c>
      <c r="R37" s="13"/>
      <c r="S37" s="21">
        <v>0.2932</v>
      </c>
      <c r="T37" s="22">
        <v>0.4398</v>
      </c>
      <c r="U37" s="13"/>
      <c r="V37" s="13"/>
      <c r="W37" s="13"/>
      <c r="X37" s="13"/>
      <c r="Y37" s="13"/>
      <c r="Z37" s="10"/>
      <c r="AA37" s="10"/>
      <c r="AB37" s="10"/>
      <c r="AC37" s="10"/>
      <c r="AD37" s="8">
        <v>2011</v>
      </c>
      <c r="AE37" s="8">
        <v>15</v>
      </c>
      <c r="AF37" s="8" t="s">
        <v>83</v>
      </c>
      <c r="AG37" s="8" t="s">
        <v>84</v>
      </c>
      <c r="AH37" s="8">
        <v>0.85</v>
      </c>
      <c r="AI37" s="8"/>
    </row>
    <row r="38" spans="1:35" ht="12.75">
      <c r="A38" s="8"/>
      <c r="B38" s="13" t="s">
        <v>85</v>
      </c>
      <c r="C38" s="13"/>
      <c r="D38" s="13"/>
      <c r="E38" s="13"/>
      <c r="F38" s="13"/>
      <c r="G38" s="13"/>
      <c r="H38" s="13"/>
      <c r="I38" s="13"/>
      <c r="J38" s="13"/>
      <c r="K38" s="8" t="s">
        <v>86</v>
      </c>
      <c r="L38" s="8" t="s">
        <v>80</v>
      </c>
      <c r="M38" s="8" t="s">
        <v>87</v>
      </c>
      <c r="N38" s="8" t="s">
        <v>82</v>
      </c>
      <c r="O38" s="8">
        <v>0.7</v>
      </c>
      <c r="P38" s="13"/>
      <c r="Q38" s="16">
        <v>0.603</v>
      </c>
      <c r="R38" s="13"/>
      <c r="S38" s="21">
        <v>0.2412</v>
      </c>
      <c r="T38" s="22">
        <v>0.3618</v>
      </c>
      <c r="U38" s="13"/>
      <c r="V38" s="13"/>
      <c r="W38" s="13"/>
      <c r="X38" s="13"/>
      <c r="Y38" s="13"/>
      <c r="Z38" s="10"/>
      <c r="AA38" s="10"/>
      <c r="AB38" s="10"/>
      <c r="AC38" s="10"/>
      <c r="AD38" s="8">
        <v>2011</v>
      </c>
      <c r="AE38" s="8">
        <v>15</v>
      </c>
      <c r="AF38" s="8" t="s">
        <v>83</v>
      </c>
      <c r="AG38" s="8" t="s">
        <v>84</v>
      </c>
      <c r="AH38" s="32">
        <v>0.7</v>
      </c>
      <c r="AI38" s="8"/>
    </row>
    <row r="39" spans="1:35" ht="12.75">
      <c r="A39" s="8"/>
      <c r="B39" s="13" t="s">
        <v>88</v>
      </c>
      <c r="C39" s="13"/>
      <c r="D39" s="13"/>
      <c r="E39" s="13"/>
      <c r="F39" s="13"/>
      <c r="G39" s="13"/>
      <c r="H39" s="13"/>
      <c r="I39" s="13"/>
      <c r="J39" s="13"/>
      <c r="K39" s="8">
        <v>1985</v>
      </c>
      <c r="L39" s="8">
        <v>15</v>
      </c>
      <c r="M39" s="8" t="s">
        <v>89</v>
      </c>
      <c r="N39" s="8" t="s">
        <v>90</v>
      </c>
      <c r="O39" s="8">
        <v>0.4</v>
      </c>
      <c r="P39" s="13"/>
      <c r="Q39" s="16">
        <v>0.345</v>
      </c>
      <c r="R39" s="13"/>
      <c r="S39" s="21">
        <v>0.138</v>
      </c>
      <c r="T39" s="22">
        <v>0.207</v>
      </c>
      <c r="U39" s="13"/>
      <c r="V39" s="13"/>
      <c r="W39" s="13"/>
      <c r="X39" s="13"/>
      <c r="Y39" s="13"/>
      <c r="Z39" s="10"/>
      <c r="AA39" s="10"/>
      <c r="AB39" s="10"/>
      <c r="AC39" s="10"/>
      <c r="AD39" s="8">
        <v>2011</v>
      </c>
      <c r="AE39" s="8">
        <v>15</v>
      </c>
      <c r="AF39" s="8" t="s">
        <v>83</v>
      </c>
      <c r="AG39" s="8" t="s">
        <v>84</v>
      </c>
      <c r="AH39" s="8">
        <v>0.4</v>
      </c>
      <c r="AI39" s="8"/>
    </row>
    <row r="40" spans="1:35" ht="12.75">
      <c r="A40" s="8"/>
      <c r="B40" s="13" t="s">
        <v>91</v>
      </c>
      <c r="C40" s="13"/>
      <c r="D40" s="13"/>
      <c r="E40" s="13"/>
      <c r="F40" s="13"/>
      <c r="G40" s="13"/>
      <c r="H40" s="13"/>
      <c r="I40" s="13"/>
      <c r="J40" s="13"/>
      <c r="K40" s="8" t="s">
        <v>92</v>
      </c>
      <c r="L40" s="8" t="s">
        <v>80</v>
      </c>
      <c r="M40" s="8" t="s">
        <v>81</v>
      </c>
      <c r="N40" s="8" t="s">
        <v>82</v>
      </c>
      <c r="O40" s="8">
        <v>0.53</v>
      </c>
      <c r="P40" s="13"/>
      <c r="Q40" s="16">
        <v>0.457</v>
      </c>
      <c r="R40" s="13"/>
      <c r="S40" s="21">
        <v>0.1828</v>
      </c>
      <c r="T40" s="22">
        <v>0.2742</v>
      </c>
      <c r="U40" s="13"/>
      <c r="V40" s="13"/>
      <c r="W40" s="13"/>
      <c r="X40" s="13"/>
      <c r="Y40" s="13"/>
      <c r="Z40" s="10"/>
      <c r="AA40" s="10"/>
      <c r="AB40" s="10"/>
      <c r="AC40" s="10"/>
      <c r="AD40" s="8">
        <v>2011</v>
      </c>
      <c r="AE40" s="8">
        <v>15</v>
      </c>
      <c r="AF40" s="8" t="s">
        <v>83</v>
      </c>
      <c r="AG40" s="8" t="s">
        <v>84</v>
      </c>
      <c r="AH40" s="8">
        <v>0.53</v>
      </c>
      <c r="AI40" s="8"/>
    </row>
    <row r="41" spans="1:35" ht="12.75">
      <c r="A41" s="8"/>
      <c r="B41" s="13" t="s">
        <v>93</v>
      </c>
      <c r="C41" s="13"/>
      <c r="D41" s="13"/>
      <c r="E41" s="13"/>
      <c r="F41" s="13"/>
      <c r="G41" s="13"/>
      <c r="H41" s="13"/>
      <c r="I41" s="13"/>
      <c r="J41" s="13"/>
      <c r="K41" s="8" t="s">
        <v>94</v>
      </c>
      <c r="L41" s="8" t="s">
        <v>95</v>
      </c>
      <c r="M41" s="8" t="s">
        <v>96</v>
      </c>
      <c r="N41" s="8" t="s">
        <v>97</v>
      </c>
      <c r="O41" s="8">
        <v>1.17</v>
      </c>
      <c r="P41" s="13"/>
      <c r="Q41" s="16">
        <v>1.01</v>
      </c>
      <c r="R41" s="13"/>
      <c r="S41" s="21">
        <v>0.404</v>
      </c>
      <c r="T41" s="22">
        <v>0.606</v>
      </c>
      <c r="U41" s="13"/>
      <c r="V41" s="13"/>
      <c r="W41" s="13"/>
      <c r="X41" s="13"/>
      <c r="Y41" s="13"/>
      <c r="Z41" s="10"/>
      <c r="AA41" s="10"/>
      <c r="AB41" s="10"/>
      <c r="AC41" s="10"/>
      <c r="AD41" s="8">
        <v>2011</v>
      </c>
      <c r="AE41" s="8">
        <v>15</v>
      </c>
      <c r="AF41" s="8" t="s">
        <v>83</v>
      </c>
      <c r="AG41" s="8" t="s">
        <v>84</v>
      </c>
      <c r="AH41" s="8">
        <v>1.17</v>
      </c>
      <c r="AI41" s="8"/>
    </row>
    <row r="42" spans="1:35" ht="12.75">
      <c r="A42" s="8"/>
      <c r="B42" s="13" t="s">
        <v>98</v>
      </c>
      <c r="C42" s="13"/>
      <c r="D42" s="13"/>
      <c r="E42" s="13"/>
      <c r="F42" s="13"/>
      <c r="G42" s="13"/>
      <c r="H42" s="13"/>
      <c r="I42" s="13"/>
      <c r="J42" s="13"/>
      <c r="K42" s="8" t="s">
        <v>99</v>
      </c>
      <c r="L42" s="8" t="s">
        <v>95</v>
      </c>
      <c r="M42" s="8" t="s">
        <v>100</v>
      </c>
      <c r="N42" s="8" t="s">
        <v>97</v>
      </c>
      <c r="O42" s="8">
        <v>0.84</v>
      </c>
      <c r="P42" s="13"/>
      <c r="Q42" s="16">
        <v>0.724</v>
      </c>
      <c r="R42" s="13"/>
      <c r="S42" s="21">
        <v>0.2896</v>
      </c>
      <c r="T42" s="22">
        <v>0.4344</v>
      </c>
      <c r="U42" s="13"/>
      <c r="V42" s="13"/>
      <c r="W42" s="13"/>
      <c r="X42" s="13"/>
      <c r="Y42" s="13"/>
      <c r="Z42" s="10"/>
      <c r="AA42" s="10"/>
      <c r="AB42" s="10"/>
      <c r="AC42" s="10"/>
      <c r="AD42" s="8">
        <v>2011</v>
      </c>
      <c r="AE42" s="8">
        <v>15</v>
      </c>
      <c r="AF42" s="8" t="s">
        <v>83</v>
      </c>
      <c r="AG42" s="8" t="s">
        <v>84</v>
      </c>
      <c r="AH42" s="8">
        <v>0.84</v>
      </c>
      <c r="AI42" s="8"/>
    </row>
    <row r="43" spans="1:35" ht="12.75">
      <c r="A43" s="8"/>
      <c r="B43" s="13" t="s">
        <v>101</v>
      </c>
      <c r="C43" s="13"/>
      <c r="D43" s="13"/>
      <c r="E43" s="13"/>
      <c r="F43" s="13"/>
      <c r="G43" s="13"/>
      <c r="H43" s="13"/>
      <c r="I43" s="13"/>
      <c r="J43" s="13"/>
      <c r="K43" s="8" t="s">
        <v>102</v>
      </c>
      <c r="L43" s="8" t="s">
        <v>103</v>
      </c>
      <c r="M43" s="8" t="s">
        <v>104</v>
      </c>
      <c r="N43" s="8" t="s">
        <v>82</v>
      </c>
      <c r="O43" s="8">
        <v>0.2</v>
      </c>
      <c r="P43" s="13"/>
      <c r="Q43" s="16">
        <v>0.172</v>
      </c>
      <c r="R43" s="13"/>
      <c r="S43" s="21">
        <v>0.0688</v>
      </c>
      <c r="T43" s="22">
        <f>T42*S43/S42</f>
        <v>0.1032</v>
      </c>
      <c r="U43" s="13"/>
      <c r="V43" s="13"/>
      <c r="W43" s="13"/>
      <c r="X43" s="13"/>
      <c r="Y43" s="13"/>
      <c r="Z43" s="10"/>
      <c r="AA43" s="10"/>
      <c r="AB43" s="10"/>
      <c r="AC43" s="10"/>
      <c r="AD43" s="8">
        <v>2011</v>
      </c>
      <c r="AE43" s="8">
        <v>15</v>
      </c>
      <c r="AF43" s="8" t="s">
        <v>83</v>
      </c>
      <c r="AG43" s="8" t="s">
        <v>84</v>
      </c>
      <c r="AH43" s="8">
        <v>0.2</v>
      </c>
      <c r="AI43" s="8"/>
    </row>
    <row r="44" spans="1:35" ht="12.75">
      <c r="A44" s="8"/>
      <c r="B44" s="13" t="s">
        <v>105</v>
      </c>
      <c r="C44" s="13"/>
      <c r="D44" s="13"/>
      <c r="E44" s="13"/>
      <c r="F44" s="13"/>
      <c r="G44" s="13"/>
      <c r="H44" s="13"/>
      <c r="I44" s="13"/>
      <c r="J44" s="13"/>
      <c r="K44" s="8" t="s">
        <v>106</v>
      </c>
      <c r="L44" s="8" t="s">
        <v>103</v>
      </c>
      <c r="M44" s="8" t="s">
        <v>107</v>
      </c>
      <c r="N44" s="8" t="s">
        <v>82</v>
      </c>
      <c r="O44" s="8">
        <v>1.05</v>
      </c>
      <c r="P44" s="13"/>
      <c r="Q44" s="16">
        <v>0.905</v>
      </c>
      <c r="R44" s="13"/>
      <c r="S44" s="21">
        <v>0.362</v>
      </c>
      <c r="T44" s="22">
        <v>0.543</v>
      </c>
      <c r="U44" s="13"/>
      <c r="V44" s="13"/>
      <c r="W44" s="13"/>
      <c r="X44" s="13"/>
      <c r="Y44" s="13"/>
      <c r="Z44" s="10"/>
      <c r="AA44" s="10"/>
      <c r="AB44" s="10"/>
      <c r="AC44" s="10"/>
      <c r="AD44" s="8">
        <v>2011</v>
      </c>
      <c r="AE44" s="8">
        <v>15</v>
      </c>
      <c r="AF44" s="8" t="s">
        <v>83</v>
      </c>
      <c r="AG44" s="8" t="s">
        <v>84</v>
      </c>
      <c r="AH44" s="8">
        <v>1.05</v>
      </c>
      <c r="AI44" s="8"/>
    </row>
    <row r="45" spans="1:35" ht="12.75">
      <c r="A45" s="8"/>
      <c r="B45" s="13" t="s">
        <v>108</v>
      </c>
      <c r="C45" s="13"/>
      <c r="D45" s="13"/>
      <c r="E45" s="13"/>
      <c r="F45" s="13"/>
      <c r="G45" s="13"/>
      <c r="H45" s="13"/>
      <c r="I45" s="13"/>
      <c r="J45" s="13"/>
      <c r="K45" s="8" t="s">
        <v>109</v>
      </c>
      <c r="L45" s="8" t="s">
        <v>110</v>
      </c>
      <c r="M45" s="8" t="s">
        <v>111</v>
      </c>
      <c r="N45" s="8" t="s">
        <v>82</v>
      </c>
      <c r="O45" s="8">
        <v>0.6</v>
      </c>
      <c r="P45" s="13"/>
      <c r="Q45" s="16">
        <v>0.517</v>
      </c>
      <c r="R45" s="13"/>
      <c r="S45" s="21">
        <v>0.2068</v>
      </c>
      <c r="T45" s="22">
        <v>0.3102</v>
      </c>
      <c r="U45" s="13"/>
      <c r="V45" s="13"/>
      <c r="W45" s="13"/>
      <c r="X45" s="13"/>
      <c r="Y45" s="13"/>
      <c r="Z45" s="10"/>
      <c r="AA45" s="10"/>
      <c r="AB45" s="10"/>
      <c r="AC45" s="10"/>
      <c r="AD45" s="8">
        <v>2011</v>
      </c>
      <c r="AE45" s="8">
        <v>15</v>
      </c>
      <c r="AF45" s="8" t="s">
        <v>83</v>
      </c>
      <c r="AG45" s="8" t="s">
        <v>84</v>
      </c>
      <c r="AH45" s="8">
        <v>0.6</v>
      </c>
      <c r="AI45" s="8"/>
    </row>
    <row r="46" spans="1:35" ht="12.75">
      <c r="A46" s="8"/>
      <c r="B46" s="13" t="s">
        <v>112</v>
      </c>
      <c r="C46" s="13"/>
      <c r="D46" s="13"/>
      <c r="E46" s="13"/>
      <c r="F46" s="13"/>
      <c r="G46" s="13"/>
      <c r="H46" s="13"/>
      <c r="I46" s="13"/>
      <c r="J46" s="13"/>
      <c r="K46" s="8">
        <v>2000</v>
      </c>
      <c r="L46" s="8" t="s">
        <v>110</v>
      </c>
      <c r="M46" s="8" t="s">
        <v>113</v>
      </c>
      <c r="N46" s="8" t="s">
        <v>82</v>
      </c>
      <c r="O46" s="8">
        <v>1.1</v>
      </c>
      <c r="P46" s="13"/>
      <c r="Q46" s="16">
        <v>0.949</v>
      </c>
      <c r="R46" s="13"/>
      <c r="S46" s="21">
        <v>0.3796</v>
      </c>
      <c r="T46" s="22">
        <v>0.5694</v>
      </c>
      <c r="U46" s="13"/>
      <c r="V46" s="13"/>
      <c r="W46" s="13"/>
      <c r="X46" s="13"/>
      <c r="Y46" s="13"/>
      <c r="Z46" s="10"/>
      <c r="AA46" s="10"/>
      <c r="AB46" s="10"/>
      <c r="AC46" s="10"/>
      <c r="AD46" s="8">
        <v>2011</v>
      </c>
      <c r="AE46" s="8">
        <v>15</v>
      </c>
      <c r="AF46" s="8" t="s">
        <v>83</v>
      </c>
      <c r="AG46" s="8" t="s">
        <v>84</v>
      </c>
      <c r="AH46" s="8">
        <v>1.1</v>
      </c>
      <c r="AI46" s="8"/>
    </row>
    <row r="47" spans="1:35" ht="12.75">
      <c r="A47" s="8"/>
      <c r="B47" s="13" t="s">
        <v>114</v>
      </c>
      <c r="C47" s="13"/>
      <c r="D47" s="13"/>
      <c r="E47" s="13"/>
      <c r="F47" s="13"/>
      <c r="G47" s="13"/>
      <c r="H47" s="13"/>
      <c r="I47" s="13"/>
      <c r="J47" s="13"/>
      <c r="K47" s="8">
        <v>1963</v>
      </c>
      <c r="L47" s="8">
        <v>15</v>
      </c>
      <c r="M47" s="8" t="s">
        <v>115</v>
      </c>
      <c r="N47" s="8" t="s">
        <v>116</v>
      </c>
      <c r="O47" s="8">
        <v>1.3</v>
      </c>
      <c r="P47" s="13"/>
      <c r="Q47" s="16">
        <v>1.121</v>
      </c>
      <c r="R47" s="13"/>
      <c r="S47" s="21">
        <v>0.4484</v>
      </c>
      <c r="T47" s="22">
        <v>0.6726</v>
      </c>
      <c r="U47" s="13"/>
      <c r="V47" s="13"/>
      <c r="W47" s="13"/>
      <c r="X47" s="13"/>
      <c r="Y47" s="13"/>
      <c r="Z47" s="10"/>
      <c r="AA47" s="10"/>
      <c r="AB47" s="10"/>
      <c r="AC47" s="10"/>
      <c r="AD47" s="8">
        <v>2011</v>
      </c>
      <c r="AE47" s="8">
        <v>15</v>
      </c>
      <c r="AF47" s="8" t="s">
        <v>83</v>
      </c>
      <c r="AG47" s="8" t="s">
        <v>84</v>
      </c>
      <c r="AH47" s="8">
        <v>1.3</v>
      </c>
      <c r="AI47" s="8"/>
    </row>
    <row r="48" spans="1:35" ht="12.75">
      <c r="A48" s="8"/>
      <c r="B48" s="13" t="s">
        <v>117</v>
      </c>
      <c r="C48" s="13"/>
      <c r="D48" s="13"/>
      <c r="E48" s="13"/>
      <c r="F48" s="13"/>
      <c r="G48" s="13"/>
      <c r="H48" s="13"/>
      <c r="I48" s="13"/>
      <c r="J48" s="13"/>
      <c r="K48" s="8">
        <v>1958</v>
      </c>
      <c r="L48" s="8">
        <v>15</v>
      </c>
      <c r="M48" s="8" t="s">
        <v>115</v>
      </c>
      <c r="N48" s="8" t="s">
        <v>116</v>
      </c>
      <c r="O48" s="8">
        <v>1.4</v>
      </c>
      <c r="P48" s="13"/>
      <c r="Q48" s="16">
        <v>1.207</v>
      </c>
      <c r="R48" s="13"/>
      <c r="S48" s="21">
        <v>0.4828</v>
      </c>
      <c r="T48" s="22">
        <v>0.7242</v>
      </c>
      <c r="U48" s="13"/>
      <c r="V48" s="13"/>
      <c r="W48" s="13"/>
      <c r="X48" s="13"/>
      <c r="Y48" s="13"/>
      <c r="Z48" s="10"/>
      <c r="AA48" s="10"/>
      <c r="AB48" s="10"/>
      <c r="AC48" s="10"/>
      <c r="AD48" s="8">
        <v>2011</v>
      </c>
      <c r="AE48" s="8">
        <v>15</v>
      </c>
      <c r="AF48" s="8" t="s">
        <v>83</v>
      </c>
      <c r="AG48" s="8" t="s">
        <v>84</v>
      </c>
      <c r="AH48" s="8">
        <v>1.4</v>
      </c>
      <c r="AI48" s="8"/>
    </row>
    <row r="49" spans="1:35" ht="12.75">
      <c r="A49" s="8"/>
      <c r="B49" s="13" t="s">
        <v>118</v>
      </c>
      <c r="C49" s="13"/>
      <c r="D49" s="13"/>
      <c r="E49" s="13"/>
      <c r="F49" s="13"/>
      <c r="G49" s="13"/>
      <c r="H49" s="13"/>
      <c r="I49" s="13"/>
      <c r="J49" s="13"/>
      <c r="K49" s="8">
        <v>2000</v>
      </c>
      <c r="L49" s="8">
        <v>15</v>
      </c>
      <c r="M49" s="8" t="s">
        <v>115</v>
      </c>
      <c r="N49" s="8" t="s">
        <v>116</v>
      </c>
      <c r="O49" s="8">
        <v>0.21</v>
      </c>
      <c r="P49" s="13"/>
      <c r="Q49" s="16">
        <v>0.181</v>
      </c>
      <c r="R49" s="13"/>
      <c r="S49" s="21">
        <v>0.0724</v>
      </c>
      <c r="T49" s="22">
        <f>T48*S49/S48</f>
        <v>0.1086</v>
      </c>
      <c r="U49" s="13"/>
      <c r="V49" s="13"/>
      <c r="W49" s="13"/>
      <c r="X49" s="13"/>
      <c r="Y49" s="13"/>
      <c r="Z49" s="10"/>
      <c r="AA49" s="10"/>
      <c r="AB49" s="10"/>
      <c r="AC49" s="10"/>
      <c r="AD49" s="8">
        <v>2011</v>
      </c>
      <c r="AE49" s="8">
        <v>15</v>
      </c>
      <c r="AF49" s="8" t="s">
        <v>83</v>
      </c>
      <c r="AG49" s="8" t="s">
        <v>84</v>
      </c>
      <c r="AH49" s="8">
        <v>0.21</v>
      </c>
      <c r="AI49" s="8"/>
    </row>
    <row r="50" spans="1:35" ht="12.75">
      <c r="A50" s="8"/>
      <c r="B50" s="13" t="s">
        <v>119</v>
      </c>
      <c r="C50" s="13"/>
      <c r="D50" s="13"/>
      <c r="E50" s="13"/>
      <c r="F50" s="13"/>
      <c r="G50" s="13"/>
      <c r="H50" s="13"/>
      <c r="I50" s="13"/>
      <c r="J50" s="13"/>
      <c r="K50" s="8">
        <v>1960</v>
      </c>
      <c r="L50" s="8">
        <v>15</v>
      </c>
      <c r="M50" s="8" t="s">
        <v>115</v>
      </c>
      <c r="N50" s="8" t="s">
        <v>116</v>
      </c>
      <c r="O50" s="8">
        <v>0.15</v>
      </c>
      <c r="P50" s="13"/>
      <c r="Q50" s="16">
        <v>0.129</v>
      </c>
      <c r="R50" s="13"/>
      <c r="S50" s="21">
        <v>0.0516</v>
      </c>
      <c r="T50" s="22">
        <v>0.0774</v>
      </c>
      <c r="U50" s="13"/>
      <c r="V50" s="13"/>
      <c r="W50" s="13"/>
      <c r="X50" s="13"/>
      <c r="Y50" s="13"/>
      <c r="Z50" s="10"/>
      <c r="AA50" s="10"/>
      <c r="AB50" s="10"/>
      <c r="AC50" s="10"/>
      <c r="AD50" s="8">
        <v>2011</v>
      </c>
      <c r="AE50" s="8">
        <v>15</v>
      </c>
      <c r="AF50" s="8" t="s">
        <v>83</v>
      </c>
      <c r="AG50" s="8" t="s">
        <v>120</v>
      </c>
      <c r="AH50" s="8">
        <v>0.15</v>
      </c>
      <c r="AI50" s="8"/>
    </row>
    <row r="51" spans="1:35" s="20" customFormat="1" ht="12.75">
      <c r="A51" s="3"/>
      <c r="B51" s="3" t="s">
        <v>46</v>
      </c>
      <c r="C51" s="17"/>
      <c r="D51" s="17"/>
      <c r="E51" s="17"/>
      <c r="F51" s="17"/>
      <c r="G51" s="17"/>
      <c r="H51" s="17"/>
      <c r="I51" s="17"/>
      <c r="J51" s="17"/>
      <c r="K51" s="3"/>
      <c r="L51" s="3"/>
      <c r="M51" s="3"/>
      <c r="N51" s="3"/>
      <c r="O51" s="33">
        <v>10.5</v>
      </c>
      <c r="P51" s="17"/>
      <c r="Q51" s="18">
        <v>9.053</v>
      </c>
      <c r="R51" s="17"/>
      <c r="S51" s="25">
        <f>Q50+Q49+Q48+Q47+Q46+Q45+Q44+Q43+Q42+Q41+Q40+Q39+Q38+Q37</f>
        <v>9.053</v>
      </c>
      <c r="T51" s="26"/>
      <c r="U51" s="17"/>
      <c r="V51" s="17"/>
      <c r="W51" s="17"/>
      <c r="X51" s="17"/>
      <c r="Y51" s="17"/>
      <c r="Z51" s="19"/>
      <c r="AA51" s="19"/>
      <c r="AB51" s="19"/>
      <c r="AC51" s="19"/>
      <c r="AD51" s="3"/>
      <c r="AE51" s="3"/>
      <c r="AF51" s="3"/>
      <c r="AG51" s="3"/>
      <c r="AH51" s="3">
        <v>10.5</v>
      </c>
      <c r="AI51" s="3"/>
    </row>
    <row r="52" spans="1:35" ht="12.75">
      <c r="A52" s="14"/>
      <c r="B52" s="15" t="s">
        <v>121</v>
      </c>
      <c r="C52" s="13"/>
      <c r="D52" s="13"/>
      <c r="E52" s="13"/>
      <c r="F52" s="13"/>
      <c r="G52" s="13"/>
      <c r="H52" s="13"/>
      <c r="I52" s="13"/>
      <c r="J52" s="13"/>
      <c r="K52" s="8"/>
      <c r="L52" s="8"/>
      <c r="M52" s="8"/>
      <c r="N52" s="8"/>
      <c r="O52" s="24"/>
      <c r="P52" s="13"/>
      <c r="Q52" s="24"/>
      <c r="R52" s="13"/>
      <c r="S52" s="13"/>
      <c r="T52" s="8"/>
      <c r="U52" s="13"/>
      <c r="V52" s="13"/>
      <c r="W52" s="13"/>
      <c r="X52" s="13"/>
      <c r="Y52" s="13"/>
      <c r="Z52" s="10"/>
      <c r="AA52" s="10"/>
      <c r="AB52" s="10"/>
      <c r="AC52" s="10"/>
      <c r="AD52" s="8"/>
      <c r="AE52" s="8"/>
      <c r="AF52" s="10"/>
      <c r="AG52" s="8"/>
      <c r="AH52" s="24"/>
      <c r="AI52" s="8"/>
    </row>
    <row r="53" spans="1:35" ht="12.75">
      <c r="A53" s="14"/>
      <c r="B53" s="3" t="s">
        <v>122</v>
      </c>
      <c r="C53" s="13"/>
      <c r="D53" s="13"/>
      <c r="E53" s="13"/>
      <c r="F53" s="13"/>
      <c r="G53" s="13"/>
      <c r="H53" s="13"/>
      <c r="I53" s="13"/>
      <c r="J53" s="13"/>
      <c r="K53" s="8"/>
      <c r="L53" s="8"/>
      <c r="M53" s="8"/>
      <c r="N53" s="8"/>
      <c r="O53" s="8"/>
      <c r="P53" s="13"/>
      <c r="Q53" s="13"/>
      <c r="R53" s="13"/>
      <c r="S53" s="13"/>
      <c r="T53" s="8"/>
      <c r="U53" s="13"/>
      <c r="V53" s="13"/>
      <c r="W53" s="13"/>
      <c r="X53" s="13"/>
      <c r="Y53" s="13"/>
      <c r="Z53" s="10"/>
      <c r="AA53" s="10"/>
      <c r="AB53" s="10"/>
      <c r="AC53" s="10"/>
      <c r="AD53" s="8"/>
      <c r="AE53" s="8"/>
      <c r="AF53" s="10"/>
      <c r="AG53" s="8"/>
      <c r="AH53" s="8"/>
      <c r="AI53" s="8"/>
    </row>
    <row r="54" spans="1:35" ht="12.75">
      <c r="A54" s="8"/>
      <c r="B54" s="13" t="s">
        <v>123</v>
      </c>
      <c r="C54" s="13"/>
      <c r="D54" s="13"/>
      <c r="E54" s="13"/>
      <c r="F54" s="13"/>
      <c r="G54" s="13"/>
      <c r="H54" s="13"/>
      <c r="I54" s="13"/>
      <c r="J54" s="13"/>
      <c r="K54" s="8">
        <v>1986</v>
      </c>
      <c r="L54" s="8"/>
      <c r="M54" s="8" t="s">
        <v>124</v>
      </c>
      <c r="N54" s="8" t="s">
        <v>125</v>
      </c>
      <c r="O54" s="8">
        <v>1.5</v>
      </c>
      <c r="P54" s="13"/>
      <c r="Q54" s="16">
        <v>1.296</v>
      </c>
      <c r="R54" s="13"/>
      <c r="S54" s="21">
        <v>0.5184</v>
      </c>
      <c r="T54" s="22">
        <v>0.7776</v>
      </c>
      <c r="U54" s="21"/>
      <c r="V54" s="13"/>
      <c r="W54" s="13"/>
      <c r="X54" s="13"/>
      <c r="Y54" s="13"/>
      <c r="Z54" s="10"/>
      <c r="AA54" s="10"/>
      <c r="AB54" s="10"/>
      <c r="AC54" s="10"/>
      <c r="AD54" s="8">
        <v>2011</v>
      </c>
      <c r="AE54" s="8">
        <v>15</v>
      </c>
      <c r="AF54" s="8" t="s">
        <v>126</v>
      </c>
      <c r="AG54" s="8" t="s">
        <v>127</v>
      </c>
      <c r="AH54" s="8">
        <v>1.5</v>
      </c>
      <c r="AI54" s="8"/>
    </row>
    <row r="55" spans="1:35" ht="12.75">
      <c r="A55" s="8"/>
      <c r="B55" s="13" t="s">
        <v>128</v>
      </c>
      <c r="C55" s="13"/>
      <c r="D55" s="13"/>
      <c r="E55" s="13"/>
      <c r="F55" s="13"/>
      <c r="G55" s="13"/>
      <c r="H55" s="13"/>
      <c r="I55" s="13"/>
      <c r="J55" s="13"/>
      <c r="K55" s="8">
        <v>1974</v>
      </c>
      <c r="L55" s="8"/>
      <c r="M55" s="8" t="s">
        <v>129</v>
      </c>
      <c r="N55" s="8" t="s">
        <v>130</v>
      </c>
      <c r="O55" s="8">
        <v>0.3</v>
      </c>
      <c r="P55" s="13"/>
      <c r="Q55" s="16">
        <v>0.258</v>
      </c>
      <c r="R55" s="13"/>
      <c r="S55" s="21">
        <v>0.1032</v>
      </c>
      <c r="T55" s="22">
        <v>0.1548</v>
      </c>
      <c r="U55" s="21"/>
      <c r="V55" s="13"/>
      <c r="W55" s="13"/>
      <c r="X55" s="13"/>
      <c r="Y55" s="13"/>
      <c r="Z55" s="10"/>
      <c r="AA55" s="10"/>
      <c r="AB55" s="10"/>
      <c r="AC55" s="10"/>
      <c r="AD55" s="8">
        <v>2011</v>
      </c>
      <c r="AE55" s="8">
        <v>15</v>
      </c>
      <c r="AF55" s="8" t="s">
        <v>126</v>
      </c>
      <c r="AG55" s="8" t="s">
        <v>127</v>
      </c>
      <c r="AH55" s="8">
        <v>0.3</v>
      </c>
      <c r="AI55" s="8"/>
    </row>
    <row r="56" spans="1:35" ht="12.75">
      <c r="A56" s="8"/>
      <c r="B56" s="13" t="s">
        <v>131</v>
      </c>
      <c r="C56" s="13"/>
      <c r="D56" s="13"/>
      <c r="E56" s="13"/>
      <c r="F56" s="13"/>
      <c r="G56" s="13"/>
      <c r="H56" s="13"/>
      <c r="I56" s="13"/>
      <c r="J56" s="13"/>
      <c r="K56" s="8">
        <v>1974</v>
      </c>
      <c r="L56" s="8"/>
      <c r="M56" s="8" t="s">
        <v>129</v>
      </c>
      <c r="N56" s="8" t="s">
        <v>132</v>
      </c>
      <c r="O56" s="8">
        <v>0.3</v>
      </c>
      <c r="P56" s="13"/>
      <c r="Q56" s="16">
        <v>0.258</v>
      </c>
      <c r="R56" s="13"/>
      <c r="S56" s="21">
        <v>0.1032</v>
      </c>
      <c r="T56" s="22">
        <v>0.1548</v>
      </c>
      <c r="U56" s="21"/>
      <c r="V56" s="13"/>
      <c r="W56" s="13"/>
      <c r="X56" s="13"/>
      <c r="Y56" s="13"/>
      <c r="Z56" s="10"/>
      <c r="AA56" s="10"/>
      <c r="AB56" s="10"/>
      <c r="AC56" s="10"/>
      <c r="AD56" s="8">
        <v>2011</v>
      </c>
      <c r="AE56" s="8">
        <v>15</v>
      </c>
      <c r="AF56" s="8" t="s">
        <v>126</v>
      </c>
      <c r="AG56" s="8" t="s">
        <v>127</v>
      </c>
      <c r="AH56" s="8">
        <v>0.3</v>
      </c>
      <c r="AI56" s="8"/>
    </row>
    <row r="57" spans="1:35" ht="12.75">
      <c r="A57" s="8"/>
      <c r="B57" s="13" t="s">
        <v>133</v>
      </c>
      <c r="C57" s="13"/>
      <c r="D57" s="13"/>
      <c r="E57" s="13"/>
      <c r="F57" s="13"/>
      <c r="G57" s="13"/>
      <c r="H57" s="13"/>
      <c r="I57" s="13"/>
      <c r="J57" s="13"/>
      <c r="K57" s="8">
        <v>1986</v>
      </c>
      <c r="L57" s="8"/>
      <c r="M57" s="8" t="s">
        <v>129</v>
      </c>
      <c r="N57" s="8" t="s">
        <v>132</v>
      </c>
      <c r="O57" s="8">
        <v>0.4</v>
      </c>
      <c r="P57" s="13"/>
      <c r="Q57" s="16">
        <v>0.345</v>
      </c>
      <c r="R57" s="13"/>
      <c r="S57" s="21">
        <v>0.138</v>
      </c>
      <c r="T57" s="22">
        <v>0.207</v>
      </c>
      <c r="U57" s="21"/>
      <c r="V57" s="13"/>
      <c r="W57" s="13"/>
      <c r="X57" s="13"/>
      <c r="Y57" s="13"/>
      <c r="Z57" s="10"/>
      <c r="AA57" s="10"/>
      <c r="AB57" s="10"/>
      <c r="AC57" s="10"/>
      <c r="AD57" s="8">
        <v>2011</v>
      </c>
      <c r="AE57" s="8">
        <v>15</v>
      </c>
      <c r="AF57" s="8" t="s">
        <v>126</v>
      </c>
      <c r="AG57" s="8" t="s">
        <v>127</v>
      </c>
      <c r="AH57" s="8">
        <v>0.4</v>
      </c>
      <c r="AI57" s="8"/>
    </row>
    <row r="58" spans="1:35" ht="12.75">
      <c r="A58" s="8"/>
      <c r="B58" s="13" t="s">
        <v>134</v>
      </c>
      <c r="C58" s="13"/>
      <c r="D58" s="13"/>
      <c r="E58" s="13"/>
      <c r="F58" s="13"/>
      <c r="G58" s="13"/>
      <c r="H58" s="13"/>
      <c r="I58" s="13"/>
      <c r="J58" s="13"/>
      <c r="K58" s="8">
        <v>1977</v>
      </c>
      <c r="L58" s="8"/>
      <c r="M58" s="8" t="s">
        <v>129</v>
      </c>
      <c r="N58" s="8" t="s">
        <v>130</v>
      </c>
      <c r="O58" s="8">
        <v>0.5</v>
      </c>
      <c r="P58" s="13"/>
      <c r="Q58" s="16">
        <v>0.431</v>
      </c>
      <c r="R58" s="13"/>
      <c r="S58" s="21">
        <v>0.1724</v>
      </c>
      <c r="T58" s="22">
        <v>0.2586</v>
      </c>
      <c r="U58" s="21"/>
      <c r="V58" s="13"/>
      <c r="W58" s="13"/>
      <c r="X58" s="13"/>
      <c r="Y58" s="13"/>
      <c r="Z58" s="10"/>
      <c r="AA58" s="10"/>
      <c r="AB58" s="10"/>
      <c r="AC58" s="10"/>
      <c r="AD58" s="8">
        <v>2011</v>
      </c>
      <c r="AE58" s="8">
        <v>15</v>
      </c>
      <c r="AF58" s="8" t="s">
        <v>126</v>
      </c>
      <c r="AG58" s="8" t="s">
        <v>127</v>
      </c>
      <c r="AH58" s="8">
        <v>0.5</v>
      </c>
      <c r="AI58" s="8"/>
    </row>
    <row r="59" spans="1:35" ht="12.75">
      <c r="A59" s="14"/>
      <c r="B59" s="15" t="s">
        <v>135</v>
      </c>
      <c r="C59" s="13"/>
      <c r="D59" s="13"/>
      <c r="E59" s="13"/>
      <c r="F59" s="13"/>
      <c r="G59" s="13"/>
      <c r="H59" s="13"/>
      <c r="I59" s="13"/>
      <c r="J59" s="13"/>
      <c r="K59" s="8"/>
      <c r="L59" s="8"/>
      <c r="M59" s="8"/>
      <c r="N59" s="8"/>
      <c r="O59" s="8"/>
      <c r="P59" s="13"/>
      <c r="Q59" s="13"/>
      <c r="R59" s="13"/>
      <c r="S59" s="13"/>
      <c r="T59" s="8"/>
      <c r="U59" s="13"/>
      <c r="V59" s="13"/>
      <c r="W59" s="13"/>
      <c r="X59" s="13"/>
      <c r="Y59" s="13"/>
      <c r="Z59" s="10"/>
      <c r="AA59" s="10"/>
      <c r="AB59" s="10"/>
      <c r="AC59" s="10"/>
      <c r="AD59" s="8"/>
      <c r="AE59" s="8"/>
      <c r="AF59" s="10"/>
      <c r="AG59" s="8"/>
      <c r="AH59" s="8"/>
      <c r="AI59" s="8"/>
    </row>
    <row r="60" spans="1:35" ht="12.75">
      <c r="A60" s="14"/>
      <c r="B60" s="3" t="s">
        <v>122</v>
      </c>
      <c r="C60" s="13"/>
      <c r="D60" s="13"/>
      <c r="E60" s="13"/>
      <c r="F60" s="13"/>
      <c r="G60" s="13"/>
      <c r="H60" s="13"/>
      <c r="I60" s="13"/>
      <c r="J60" s="13"/>
      <c r="K60" s="8"/>
      <c r="L60" s="8"/>
      <c r="M60" s="8"/>
      <c r="N60" s="8"/>
      <c r="O60" s="8"/>
      <c r="P60" s="13"/>
      <c r="Q60" s="13"/>
      <c r="R60" s="13"/>
      <c r="S60" s="13"/>
      <c r="T60" s="8"/>
      <c r="U60" s="13"/>
      <c r="V60" s="13"/>
      <c r="W60" s="13"/>
      <c r="X60" s="13"/>
      <c r="Y60" s="13"/>
      <c r="Z60" s="10"/>
      <c r="AA60" s="10"/>
      <c r="AB60" s="10"/>
      <c r="AC60" s="10"/>
      <c r="AD60" s="8"/>
      <c r="AE60" s="8"/>
      <c r="AF60" s="10"/>
      <c r="AG60" s="8"/>
      <c r="AH60" s="23"/>
      <c r="AI60" s="8"/>
    </row>
    <row r="61" spans="1:35" ht="12.75">
      <c r="A61" s="8"/>
      <c r="B61" s="13" t="s">
        <v>136</v>
      </c>
      <c r="C61" s="13"/>
      <c r="D61" s="13"/>
      <c r="E61" s="13"/>
      <c r="F61" s="13"/>
      <c r="G61" s="13"/>
      <c r="H61" s="13"/>
      <c r="I61" s="13"/>
      <c r="J61" s="13"/>
      <c r="K61" s="8">
        <v>1967</v>
      </c>
      <c r="L61" s="8">
        <v>33</v>
      </c>
      <c r="M61" s="8" t="s">
        <v>83</v>
      </c>
      <c r="N61" s="8" t="s">
        <v>130</v>
      </c>
      <c r="O61" s="8">
        <v>0.96</v>
      </c>
      <c r="P61" s="13"/>
      <c r="Q61" s="16">
        <v>0.8280000000000001</v>
      </c>
      <c r="R61" s="13"/>
      <c r="S61" s="21">
        <v>0.3312</v>
      </c>
      <c r="T61" s="22">
        <v>0.4968</v>
      </c>
      <c r="U61" s="13"/>
      <c r="V61" s="13"/>
      <c r="W61" s="13"/>
      <c r="X61" s="13"/>
      <c r="Y61" s="13"/>
      <c r="Z61" s="10"/>
      <c r="AA61" s="10"/>
      <c r="AB61" s="10"/>
      <c r="AC61" s="10"/>
      <c r="AD61" s="8">
        <v>2011</v>
      </c>
      <c r="AE61" s="8">
        <v>15</v>
      </c>
      <c r="AF61" s="8" t="s">
        <v>126</v>
      </c>
      <c r="AG61" s="8" t="s">
        <v>127</v>
      </c>
      <c r="AH61" s="8">
        <v>0.96</v>
      </c>
      <c r="AI61" s="8"/>
    </row>
    <row r="62" spans="1:35" ht="12.75">
      <c r="A62" s="14"/>
      <c r="B62" s="15" t="s">
        <v>47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22"/>
      <c r="U62" s="13"/>
      <c r="V62" s="13"/>
      <c r="W62" s="13"/>
      <c r="X62" s="13"/>
      <c r="Y62" s="13"/>
      <c r="Z62" s="10"/>
      <c r="AA62" s="10"/>
      <c r="AB62" s="10"/>
      <c r="AC62" s="10"/>
      <c r="AD62" s="8"/>
      <c r="AE62" s="8"/>
      <c r="AF62" s="10"/>
      <c r="AG62" s="8"/>
      <c r="AH62" s="8"/>
      <c r="AI62" s="8"/>
    </row>
    <row r="63" spans="1:35" ht="12.75">
      <c r="A63" s="14"/>
      <c r="B63" s="3" t="s">
        <v>122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22"/>
      <c r="U63" s="13"/>
      <c r="V63" s="13"/>
      <c r="W63" s="13"/>
      <c r="X63" s="13"/>
      <c r="Y63" s="13"/>
      <c r="Z63" s="10"/>
      <c r="AA63" s="10"/>
      <c r="AB63" s="10"/>
      <c r="AC63" s="10"/>
      <c r="AD63" s="8"/>
      <c r="AE63" s="8"/>
      <c r="AF63" s="10"/>
      <c r="AG63" s="8"/>
      <c r="AH63" s="23"/>
      <c r="AI63" s="8"/>
    </row>
    <row r="64" spans="1:35" ht="12.75">
      <c r="A64" s="8"/>
      <c r="B64" s="13" t="s">
        <v>137</v>
      </c>
      <c r="C64" s="13"/>
      <c r="D64" s="13"/>
      <c r="E64" s="13"/>
      <c r="F64" s="13"/>
      <c r="G64" s="13"/>
      <c r="H64" s="13"/>
      <c r="I64" s="13"/>
      <c r="J64" s="13"/>
      <c r="K64" s="8">
        <v>1970</v>
      </c>
      <c r="L64" s="8">
        <v>16.7</v>
      </c>
      <c r="M64" s="13" t="s">
        <v>124</v>
      </c>
      <c r="N64" s="13" t="s">
        <v>130</v>
      </c>
      <c r="O64" s="13">
        <v>0.96</v>
      </c>
      <c r="P64" s="13"/>
      <c r="Q64" s="16">
        <v>0.8280000000000001</v>
      </c>
      <c r="R64" s="13"/>
      <c r="S64" s="21">
        <v>0.3312</v>
      </c>
      <c r="T64" s="22">
        <v>0.4968</v>
      </c>
      <c r="U64" s="13"/>
      <c r="V64" s="13"/>
      <c r="W64" s="13"/>
      <c r="X64" s="13"/>
      <c r="Y64" s="13"/>
      <c r="Z64" s="10"/>
      <c r="AA64" s="10"/>
      <c r="AB64" s="10"/>
      <c r="AC64" s="10"/>
      <c r="AD64" s="8">
        <v>2011</v>
      </c>
      <c r="AE64" s="8">
        <v>15</v>
      </c>
      <c r="AF64" s="8" t="s">
        <v>126</v>
      </c>
      <c r="AG64" s="8" t="s">
        <v>127</v>
      </c>
      <c r="AH64" s="8">
        <v>0.96</v>
      </c>
      <c r="AI64" s="8"/>
    </row>
    <row r="65" spans="1:35" ht="12.75">
      <c r="A65" s="8"/>
      <c r="B65" s="13" t="s">
        <v>138</v>
      </c>
      <c r="C65" s="13"/>
      <c r="D65" s="13"/>
      <c r="E65" s="13"/>
      <c r="F65" s="13"/>
      <c r="G65" s="13"/>
      <c r="H65" s="13"/>
      <c r="I65" s="13"/>
      <c r="J65" s="13"/>
      <c r="K65" s="8" t="s">
        <v>139</v>
      </c>
      <c r="L65" s="8">
        <v>16.7</v>
      </c>
      <c r="M65" s="13" t="s">
        <v>124</v>
      </c>
      <c r="N65" s="13" t="s">
        <v>130</v>
      </c>
      <c r="O65" s="13">
        <v>1.02</v>
      </c>
      <c r="P65" s="13"/>
      <c r="Q65" s="16">
        <v>0.88</v>
      </c>
      <c r="R65" s="13"/>
      <c r="S65" s="21">
        <v>0.352</v>
      </c>
      <c r="T65" s="22">
        <v>0.528</v>
      </c>
      <c r="U65" s="13"/>
      <c r="V65" s="13"/>
      <c r="W65" s="13"/>
      <c r="X65" s="13"/>
      <c r="Y65" s="13"/>
      <c r="Z65" s="10"/>
      <c r="AA65" s="10"/>
      <c r="AB65" s="10"/>
      <c r="AC65" s="10"/>
      <c r="AD65" s="8">
        <v>2011</v>
      </c>
      <c r="AE65" s="8">
        <v>15</v>
      </c>
      <c r="AF65" s="8" t="s">
        <v>126</v>
      </c>
      <c r="AG65" s="8" t="s">
        <v>127</v>
      </c>
      <c r="AH65" s="8">
        <v>1.02</v>
      </c>
      <c r="AI65" s="8"/>
    </row>
    <row r="66" spans="1:35" ht="12.75">
      <c r="A66" s="8"/>
      <c r="B66" s="13" t="s">
        <v>140</v>
      </c>
      <c r="C66" s="13"/>
      <c r="D66" s="13"/>
      <c r="E66" s="13"/>
      <c r="F66" s="13"/>
      <c r="G66" s="13"/>
      <c r="H66" s="13"/>
      <c r="I66" s="13"/>
      <c r="J66" s="13"/>
      <c r="K66" s="8">
        <v>1965</v>
      </c>
      <c r="L66" s="8">
        <v>16.7</v>
      </c>
      <c r="M66" s="13" t="s">
        <v>124</v>
      </c>
      <c r="N66" s="13" t="s">
        <v>130</v>
      </c>
      <c r="O66" s="13">
        <v>0.25</v>
      </c>
      <c r="P66" s="13"/>
      <c r="Q66" s="16">
        <v>0.216</v>
      </c>
      <c r="R66" s="13"/>
      <c r="S66" s="21">
        <v>0.0864</v>
      </c>
      <c r="T66" s="22">
        <v>0.1296</v>
      </c>
      <c r="U66" s="13"/>
      <c r="V66" s="13"/>
      <c r="W66" s="13"/>
      <c r="X66" s="13"/>
      <c r="Y66" s="13"/>
      <c r="Z66" s="10"/>
      <c r="AA66" s="10"/>
      <c r="AB66" s="10"/>
      <c r="AC66" s="10"/>
      <c r="AD66" s="8">
        <v>2011</v>
      </c>
      <c r="AE66" s="8">
        <v>15</v>
      </c>
      <c r="AF66" s="8" t="s">
        <v>126</v>
      </c>
      <c r="AG66" s="8" t="s">
        <v>127</v>
      </c>
      <c r="AH66" s="8">
        <v>0.25</v>
      </c>
      <c r="AI66" s="8"/>
    </row>
    <row r="67" spans="1:35" ht="12.75">
      <c r="A67" s="8"/>
      <c r="B67" s="13" t="s">
        <v>141</v>
      </c>
      <c r="C67" s="13"/>
      <c r="D67" s="13"/>
      <c r="E67" s="13"/>
      <c r="F67" s="13"/>
      <c r="G67" s="13"/>
      <c r="H67" s="13"/>
      <c r="I67" s="13"/>
      <c r="J67" s="13"/>
      <c r="K67" s="8">
        <v>1967</v>
      </c>
      <c r="L67" s="8">
        <v>16.7</v>
      </c>
      <c r="M67" s="13" t="s">
        <v>124</v>
      </c>
      <c r="N67" s="13" t="s">
        <v>130</v>
      </c>
      <c r="O67" s="8">
        <v>0.51</v>
      </c>
      <c r="P67" s="13"/>
      <c r="Q67" s="16">
        <v>0.44</v>
      </c>
      <c r="R67" s="13"/>
      <c r="S67" s="21">
        <v>0.176</v>
      </c>
      <c r="T67" s="22">
        <v>0.264</v>
      </c>
      <c r="U67" s="13"/>
      <c r="V67" s="13"/>
      <c r="W67" s="13"/>
      <c r="X67" s="13"/>
      <c r="Y67" s="13"/>
      <c r="Z67" s="10"/>
      <c r="AA67" s="10"/>
      <c r="AB67" s="10"/>
      <c r="AC67" s="10"/>
      <c r="AD67" s="8">
        <v>2011</v>
      </c>
      <c r="AE67" s="8">
        <v>15</v>
      </c>
      <c r="AF67" s="8" t="s">
        <v>126</v>
      </c>
      <c r="AG67" s="8" t="s">
        <v>127</v>
      </c>
      <c r="AH67" s="8">
        <v>0.51</v>
      </c>
      <c r="AI67" s="8"/>
    </row>
    <row r="68" spans="1:35" ht="12.75">
      <c r="A68" s="8"/>
      <c r="B68" s="13" t="s">
        <v>142</v>
      </c>
      <c r="C68" s="13"/>
      <c r="D68" s="13"/>
      <c r="E68" s="13"/>
      <c r="F68" s="13"/>
      <c r="G68" s="13"/>
      <c r="H68" s="13"/>
      <c r="I68" s="13"/>
      <c r="J68" s="13"/>
      <c r="K68" s="8">
        <v>1960</v>
      </c>
      <c r="L68" s="8">
        <v>16.7</v>
      </c>
      <c r="M68" s="13" t="s">
        <v>124</v>
      </c>
      <c r="N68" s="13" t="s">
        <v>130</v>
      </c>
      <c r="O68" s="8">
        <v>0.67</v>
      </c>
      <c r="P68" s="13"/>
      <c r="Q68" s="16">
        <v>0.578</v>
      </c>
      <c r="R68" s="13"/>
      <c r="S68" s="21">
        <v>0.2312</v>
      </c>
      <c r="T68" s="22">
        <v>0.3468</v>
      </c>
      <c r="U68" s="13"/>
      <c r="V68" s="13"/>
      <c r="W68" s="13"/>
      <c r="X68" s="13"/>
      <c r="Y68" s="13"/>
      <c r="Z68" s="10"/>
      <c r="AA68" s="10"/>
      <c r="AB68" s="10"/>
      <c r="AC68" s="10"/>
      <c r="AD68" s="8">
        <v>2011</v>
      </c>
      <c r="AE68" s="8">
        <v>15</v>
      </c>
      <c r="AF68" s="8" t="s">
        <v>126</v>
      </c>
      <c r="AG68" s="8" t="s">
        <v>127</v>
      </c>
      <c r="AH68" s="8">
        <v>0.67</v>
      </c>
      <c r="AI68" s="8"/>
    </row>
    <row r="69" spans="1:35" ht="12.75">
      <c r="A69" s="8"/>
      <c r="B69" s="13" t="s">
        <v>143</v>
      </c>
      <c r="C69" s="13"/>
      <c r="D69" s="13"/>
      <c r="E69" s="13"/>
      <c r="F69" s="13"/>
      <c r="G69" s="13"/>
      <c r="H69" s="13"/>
      <c r="I69" s="13"/>
      <c r="J69" s="13"/>
      <c r="K69" s="8">
        <v>1968</v>
      </c>
      <c r="L69" s="8">
        <v>16.7</v>
      </c>
      <c r="M69" s="13" t="s">
        <v>124</v>
      </c>
      <c r="N69" s="13" t="s">
        <v>130</v>
      </c>
      <c r="O69" s="8">
        <v>0.8</v>
      </c>
      <c r="P69" s="13"/>
      <c r="Q69" s="16">
        <v>0.69</v>
      </c>
      <c r="R69" s="13"/>
      <c r="S69" s="21">
        <v>0.276</v>
      </c>
      <c r="T69" s="22">
        <v>0.414</v>
      </c>
      <c r="U69" s="13"/>
      <c r="V69" s="13"/>
      <c r="W69" s="13"/>
      <c r="X69" s="13"/>
      <c r="Y69" s="13"/>
      <c r="Z69" s="10"/>
      <c r="AA69" s="10"/>
      <c r="AB69" s="10"/>
      <c r="AC69" s="10"/>
      <c r="AD69" s="8">
        <v>2011</v>
      </c>
      <c r="AE69" s="8">
        <v>15</v>
      </c>
      <c r="AF69" s="8" t="s">
        <v>126</v>
      </c>
      <c r="AG69" s="8" t="s">
        <v>127</v>
      </c>
      <c r="AH69" s="8">
        <v>0.8</v>
      </c>
      <c r="AI69" s="8"/>
    </row>
    <row r="70" spans="1:35" ht="12.75">
      <c r="A70" s="8"/>
      <c r="B70" s="13" t="s">
        <v>144</v>
      </c>
      <c r="C70" s="13"/>
      <c r="D70" s="13"/>
      <c r="E70" s="13"/>
      <c r="F70" s="13"/>
      <c r="G70" s="13"/>
      <c r="H70" s="13"/>
      <c r="I70" s="13"/>
      <c r="J70" s="13"/>
      <c r="K70" s="8">
        <v>1968</v>
      </c>
      <c r="L70" s="8">
        <v>16.7</v>
      </c>
      <c r="M70" s="13" t="s">
        <v>124</v>
      </c>
      <c r="N70" s="13" t="s">
        <v>130</v>
      </c>
      <c r="O70" s="8">
        <v>0.82</v>
      </c>
      <c r="P70" s="13"/>
      <c r="Q70" s="16">
        <v>0.708</v>
      </c>
      <c r="R70" s="13"/>
      <c r="S70" s="21">
        <v>0.2832</v>
      </c>
      <c r="T70" s="22">
        <v>0.4248</v>
      </c>
      <c r="U70" s="13"/>
      <c r="V70" s="13"/>
      <c r="W70" s="13"/>
      <c r="X70" s="13"/>
      <c r="Y70" s="13"/>
      <c r="Z70" s="10"/>
      <c r="AA70" s="10"/>
      <c r="AB70" s="10"/>
      <c r="AC70" s="10"/>
      <c r="AD70" s="8">
        <v>2011</v>
      </c>
      <c r="AE70" s="8">
        <v>15</v>
      </c>
      <c r="AF70" s="8" t="s">
        <v>126</v>
      </c>
      <c r="AG70" s="8" t="s">
        <v>127</v>
      </c>
      <c r="AH70" s="8">
        <v>0.82</v>
      </c>
      <c r="AI70" s="8"/>
    </row>
    <row r="71" spans="1:35" ht="12.75">
      <c r="A71" s="14"/>
      <c r="B71" s="15" t="s">
        <v>145</v>
      </c>
      <c r="C71" s="13"/>
      <c r="D71" s="13"/>
      <c r="E71" s="13"/>
      <c r="F71" s="13"/>
      <c r="G71" s="13"/>
      <c r="H71" s="13"/>
      <c r="I71" s="13"/>
      <c r="J71" s="13"/>
      <c r="K71" s="8"/>
      <c r="L71" s="8"/>
      <c r="M71" s="8"/>
      <c r="N71" s="8"/>
      <c r="O71" s="8"/>
      <c r="P71" s="13"/>
      <c r="Q71" s="13"/>
      <c r="R71" s="13"/>
      <c r="S71" s="13"/>
      <c r="T71" s="8"/>
      <c r="U71" s="13"/>
      <c r="V71" s="13"/>
      <c r="W71" s="13"/>
      <c r="X71" s="13"/>
      <c r="Y71" s="13"/>
      <c r="Z71" s="10"/>
      <c r="AA71" s="10"/>
      <c r="AB71" s="10"/>
      <c r="AC71" s="10"/>
      <c r="AD71" s="8"/>
      <c r="AE71" s="8"/>
      <c r="AF71" s="10"/>
      <c r="AG71" s="8"/>
      <c r="AH71" s="8"/>
      <c r="AI71" s="8"/>
    </row>
    <row r="72" spans="1:35" ht="12.75">
      <c r="A72" s="14"/>
      <c r="B72" s="3" t="s">
        <v>122</v>
      </c>
      <c r="C72" s="13"/>
      <c r="D72" s="13"/>
      <c r="E72" s="13"/>
      <c r="F72" s="13"/>
      <c r="G72" s="13"/>
      <c r="H72" s="13"/>
      <c r="I72" s="13"/>
      <c r="J72" s="13"/>
      <c r="K72" s="8"/>
      <c r="L72" s="8"/>
      <c r="M72" s="8"/>
      <c r="N72" s="8"/>
      <c r="O72" s="8"/>
      <c r="P72" s="13"/>
      <c r="Q72" s="13"/>
      <c r="R72" s="13"/>
      <c r="S72" s="13"/>
      <c r="T72" s="8"/>
      <c r="U72" s="13"/>
      <c r="V72" s="13"/>
      <c r="W72" s="13"/>
      <c r="X72" s="13"/>
      <c r="Y72" s="13"/>
      <c r="Z72" s="10"/>
      <c r="AA72" s="10"/>
      <c r="AB72" s="10"/>
      <c r="AC72" s="10"/>
      <c r="AD72" s="8"/>
      <c r="AE72" s="8"/>
      <c r="AF72" s="10"/>
      <c r="AG72" s="8"/>
      <c r="AH72" s="8"/>
      <c r="AI72" s="8"/>
    </row>
    <row r="73" spans="1:35" ht="12.75">
      <c r="A73" s="8"/>
      <c r="B73" s="13" t="s">
        <v>146</v>
      </c>
      <c r="C73" s="13"/>
      <c r="D73" s="13"/>
      <c r="E73" s="13"/>
      <c r="F73" s="13"/>
      <c r="G73" s="13"/>
      <c r="H73" s="13"/>
      <c r="I73" s="13"/>
      <c r="J73" s="13"/>
      <c r="K73" s="8">
        <v>1972</v>
      </c>
      <c r="L73" s="8">
        <v>25</v>
      </c>
      <c r="M73" s="8" t="s">
        <v>124</v>
      </c>
      <c r="N73" s="8" t="s">
        <v>147</v>
      </c>
      <c r="O73" s="8">
        <v>1.05</v>
      </c>
      <c r="P73" s="13"/>
      <c r="Q73" s="16">
        <v>0.906</v>
      </c>
      <c r="R73" s="13"/>
      <c r="S73" s="21">
        <v>0.3634</v>
      </c>
      <c r="T73" s="22">
        <v>0.5436</v>
      </c>
      <c r="U73" s="21"/>
      <c r="V73" s="13"/>
      <c r="W73" s="13"/>
      <c r="X73" s="13"/>
      <c r="Y73" s="13"/>
      <c r="Z73" s="10"/>
      <c r="AA73" s="10"/>
      <c r="AB73" s="10"/>
      <c r="AC73" s="10"/>
      <c r="AD73" s="8">
        <v>2011</v>
      </c>
      <c r="AE73" s="8">
        <v>15</v>
      </c>
      <c r="AF73" s="8" t="s">
        <v>126</v>
      </c>
      <c r="AG73" s="8" t="s">
        <v>127</v>
      </c>
      <c r="AH73" s="23">
        <v>1.05</v>
      </c>
      <c r="AI73" s="8"/>
    </row>
    <row r="74" spans="1:35" ht="12.75">
      <c r="A74" s="8"/>
      <c r="B74" s="13" t="s">
        <v>148</v>
      </c>
      <c r="C74" s="13"/>
      <c r="D74" s="13"/>
      <c r="E74" s="13"/>
      <c r="F74" s="13"/>
      <c r="G74" s="13"/>
      <c r="H74" s="13"/>
      <c r="I74" s="13"/>
      <c r="J74" s="13"/>
      <c r="K74" s="8">
        <v>1970</v>
      </c>
      <c r="L74" s="34">
        <v>33.3</v>
      </c>
      <c r="M74" s="8" t="s">
        <v>129</v>
      </c>
      <c r="N74" s="8" t="s">
        <v>147</v>
      </c>
      <c r="O74" s="8">
        <v>0.7</v>
      </c>
      <c r="P74" s="13"/>
      <c r="Q74" s="16">
        <v>0.603</v>
      </c>
      <c r="R74" s="13"/>
      <c r="S74" s="21">
        <v>0.2412</v>
      </c>
      <c r="T74" s="22">
        <v>0.3618</v>
      </c>
      <c r="U74" s="21"/>
      <c r="V74" s="13"/>
      <c r="W74" s="13"/>
      <c r="X74" s="13"/>
      <c r="Y74" s="13"/>
      <c r="Z74" s="10"/>
      <c r="AA74" s="10"/>
      <c r="AB74" s="10"/>
      <c r="AC74" s="10"/>
      <c r="AD74" s="8">
        <v>2011</v>
      </c>
      <c r="AE74" s="8">
        <v>15</v>
      </c>
      <c r="AF74" s="8" t="s">
        <v>126</v>
      </c>
      <c r="AG74" s="8" t="s">
        <v>127</v>
      </c>
      <c r="AH74" s="23">
        <v>0.7</v>
      </c>
      <c r="AI74" s="8"/>
    </row>
    <row r="75" spans="1:35" ht="12.75">
      <c r="A75" s="8"/>
      <c r="B75" s="13" t="s">
        <v>149</v>
      </c>
      <c r="C75" s="13"/>
      <c r="D75" s="13"/>
      <c r="E75" s="13"/>
      <c r="F75" s="13"/>
      <c r="G75" s="13"/>
      <c r="H75" s="13"/>
      <c r="I75" s="13"/>
      <c r="J75" s="13"/>
      <c r="K75" s="8">
        <v>1965</v>
      </c>
      <c r="L75" s="34">
        <v>33.3</v>
      </c>
      <c r="M75" s="8" t="s">
        <v>129</v>
      </c>
      <c r="N75" s="8" t="s">
        <v>147</v>
      </c>
      <c r="O75" s="8">
        <v>0.75</v>
      </c>
      <c r="P75" s="13"/>
      <c r="Q75" s="16">
        <v>0.648</v>
      </c>
      <c r="R75" s="13"/>
      <c r="S75" s="21">
        <v>0.2592</v>
      </c>
      <c r="T75" s="22">
        <v>0.3888</v>
      </c>
      <c r="U75" s="21"/>
      <c r="V75" s="13"/>
      <c r="W75" s="13"/>
      <c r="X75" s="13"/>
      <c r="Y75" s="13"/>
      <c r="Z75" s="10"/>
      <c r="AA75" s="10"/>
      <c r="AB75" s="10"/>
      <c r="AC75" s="10"/>
      <c r="AD75" s="8">
        <v>2011</v>
      </c>
      <c r="AE75" s="8">
        <v>15</v>
      </c>
      <c r="AF75" s="8" t="s">
        <v>126</v>
      </c>
      <c r="AG75" s="8" t="s">
        <v>127</v>
      </c>
      <c r="AH75" s="23">
        <v>0.75</v>
      </c>
      <c r="AI75" s="8"/>
    </row>
    <row r="76" spans="1:35" ht="12.75">
      <c r="A76" s="14"/>
      <c r="B76" s="15" t="s">
        <v>150</v>
      </c>
      <c r="C76" s="13"/>
      <c r="D76" s="13"/>
      <c r="E76" s="13"/>
      <c r="F76" s="13"/>
      <c r="G76" s="13"/>
      <c r="H76" s="13"/>
      <c r="I76" s="13"/>
      <c r="J76" s="13"/>
      <c r="K76" s="8"/>
      <c r="L76" s="8"/>
      <c r="M76" s="8"/>
      <c r="N76" s="8"/>
      <c r="O76" s="8"/>
      <c r="P76" s="13"/>
      <c r="Q76" s="13"/>
      <c r="R76" s="13"/>
      <c r="S76" s="13"/>
      <c r="T76" s="8"/>
      <c r="U76" s="13"/>
      <c r="V76" s="13"/>
      <c r="W76" s="13"/>
      <c r="X76" s="13"/>
      <c r="Y76" s="13"/>
      <c r="Z76" s="10"/>
      <c r="AA76" s="10"/>
      <c r="AB76" s="10"/>
      <c r="AC76" s="10"/>
      <c r="AD76" s="8"/>
      <c r="AE76" s="8"/>
      <c r="AF76" s="10"/>
      <c r="AG76" s="8"/>
      <c r="AH76" s="8"/>
      <c r="AI76" s="8"/>
    </row>
    <row r="77" spans="1:35" ht="12.75">
      <c r="A77" s="14"/>
      <c r="B77" s="3" t="s">
        <v>122</v>
      </c>
      <c r="C77" s="13"/>
      <c r="D77" s="13"/>
      <c r="E77" s="13"/>
      <c r="F77" s="13"/>
      <c r="G77" s="13"/>
      <c r="H77" s="13"/>
      <c r="I77" s="13"/>
      <c r="J77" s="13"/>
      <c r="K77" s="8"/>
      <c r="L77" s="8"/>
      <c r="M77" s="8"/>
      <c r="N77" s="8"/>
      <c r="O77" s="8"/>
      <c r="P77" s="13"/>
      <c r="Q77" s="13"/>
      <c r="R77" s="13"/>
      <c r="S77" s="13"/>
      <c r="T77" s="8"/>
      <c r="U77" s="13"/>
      <c r="V77" s="13"/>
      <c r="W77" s="13"/>
      <c r="X77" s="13"/>
      <c r="Y77" s="13"/>
      <c r="Z77" s="10"/>
      <c r="AA77" s="10"/>
      <c r="AB77" s="10"/>
      <c r="AC77" s="10"/>
      <c r="AD77" s="8"/>
      <c r="AE77" s="8"/>
      <c r="AF77" s="10"/>
      <c r="AG77" s="8"/>
      <c r="AH77" s="23"/>
      <c r="AI77" s="8"/>
    </row>
    <row r="78" spans="1:35" ht="12.75">
      <c r="A78" s="8"/>
      <c r="B78" s="13" t="s">
        <v>151</v>
      </c>
      <c r="C78" s="13"/>
      <c r="D78" s="13"/>
      <c r="E78" s="13"/>
      <c r="F78" s="13"/>
      <c r="G78" s="13"/>
      <c r="H78" s="13"/>
      <c r="I78" s="13"/>
      <c r="J78" s="13"/>
      <c r="K78" s="8">
        <v>1970</v>
      </c>
      <c r="L78" s="8">
        <v>33</v>
      </c>
      <c r="M78" s="8" t="s">
        <v>129</v>
      </c>
      <c r="N78" s="8" t="s">
        <v>125</v>
      </c>
      <c r="O78" s="8">
        <v>0.95</v>
      </c>
      <c r="P78" s="13"/>
      <c r="Q78" s="16">
        <v>0.82</v>
      </c>
      <c r="R78" s="13"/>
      <c r="S78" s="21">
        <v>0.328</v>
      </c>
      <c r="T78" s="22">
        <v>0.492</v>
      </c>
      <c r="U78" s="13"/>
      <c r="V78" s="13"/>
      <c r="W78" s="13"/>
      <c r="X78" s="13"/>
      <c r="Y78" s="13"/>
      <c r="Z78" s="10"/>
      <c r="AA78" s="10"/>
      <c r="AB78" s="10"/>
      <c r="AC78" s="10"/>
      <c r="AD78" s="8">
        <v>2011</v>
      </c>
      <c r="AE78" s="8">
        <v>15</v>
      </c>
      <c r="AF78" s="8" t="s">
        <v>126</v>
      </c>
      <c r="AG78" s="8" t="s">
        <v>127</v>
      </c>
      <c r="AH78" s="8">
        <v>0.95</v>
      </c>
      <c r="AI78" s="8"/>
    </row>
    <row r="79" spans="1:35" ht="12.75">
      <c r="A79" s="8"/>
      <c r="B79" s="13" t="s">
        <v>152</v>
      </c>
      <c r="C79" s="13"/>
      <c r="D79" s="13"/>
      <c r="E79" s="13"/>
      <c r="F79" s="13"/>
      <c r="G79" s="13"/>
      <c r="H79" s="13"/>
      <c r="I79" s="13"/>
      <c r="J79" s="13"/>
      <c r="K79" s="8">
        <v>1972</v>
      </c>
      <c r="L79" s="8">
        <v>20</v>
      </c>
      <c r="M79" s="8" t="s">
        <v>124</v>
      </c>
      <c r="N79" s="8" t="s">
        <v>125</v>
      </c>
      <c r="O79" s="8">
        <v>0.9</v>
      </c>
      <c r="P79" s="13"/>
      <c r="Q79" s="16">
        <v>0.777</v>
      </c>
      <c r="R79" s="13"/>
      <c r="S79" s="21">
        <v>0.3108</v>
      </c>
      <c r="T79" s="22">
        <v>0.4662</v>
      </c>
      <c r="U79" s="13"/>
      <c r="V79" s="13"/>
      <c r="W79" s="13"/>
      <c r="X79" s="13"/>
      <c r="Y79" s="13"/>
      <c r="Z79" s="10"/>
      <c r="AA79" s="10"/>
      <c r="AB79" s="10"/>
      <c r="AC79" s="10"/>
      <c r="AD79" s="8">
        <v>2011</v>
      </c>
      <c r="AE79" s="8">
        <v>15</v>
      </c>
      <c r="AF79" s="8" t="s">
        <v>126</v>
      </c>
      <c r="AG79" s="8" t="s">
        <v>127</v>
      </c>
      <c r="AH79" s="8">
        <v>0.9</v>
      </c>
      <c r="AI79" s="8"/>
    </row>
    <row r="80" spans="1:35" ht="12.75">
      <c r="A80" s="8"/>
      <c r="B80" s="13" t="s">
        <v>153</v>
      </c>
      <c r="C80" s="13"/>
      <c r="D80" s="13"/>
      <c r="E80" s="13"/>
      <c r="F80" s="13"/>
      <c r="G80" s="13"/>
      <c r="H80" s="13"/>
      <c r="I80" s="13"/>
      <c r="J80" s="13"/>
      <c r="K80" s="8">
        <v>1970</v>
      </c>
      <c r="L80" s="8">
        <v>33</v>
      </c>
      <c r="M80" s="8" t="s">
        <v>154</v>
      </c>
      <c r="N80" s="8" t="s">
        <v>132</v>
      </c>
      <c r="O80" s="8">
        <v>0.83</v>
      </c>
      <c r="P80" s="13"/>
      <c r="Q80" s="16">
        <v>0.716</v>
      </c>
      <c r="R80" s="13"/>
      <c r="S80" s="21">
        <v>0.2864</v>
      </c>
      <c r="T80" s="22">
        <v>0.4296</v>
      </c>
      <c r="U80" s="13"/>
      <c r="V80" s="13"/>
      <c r="W80" s="13"/>
      <c r="X80" s="13"/>
      <c r="Y80" s="13"/>
      <c r="Z80" s="10"/>
      <c r="AA80" s="10"/>
      <c r="AB80" s="10"/>
      <c r="AC80" s="10"/>
      <c r="AD80" s="8">
        <v>2011</v>
      </c>
      <c r="AE80" s="8">
        <v>15</v>
      </c>
      <c r="AF80" s="8" t="s">
        <v>126</v>
      </c>
      <c r="AG80" s="8" t="s">
        <v>127</v>
      </c>
      <c r="AH80" s="8">
        <v>0.83</v>
      </c>
      <c r="AI80" s="8"/>
    </row>
    <row r="81" spans="1:35" ht="12.75">
      <c r="A81" s="8"/>
      <c r="B81" s="13" t="s">
        <v>155</v>
      </c>
      <c r="C81" s="13"/>
      <c r="D81" s="13"/>
      <c r="E81" s="13"/>
      <c r="F81" s="13"/>
      <c r="G81" s="13"/>
      <c r="H81" s="13"/>
      <c r="I81" s="13"/>
      <c r="J81" s="13"/>
      <c r="K81" s="8">
        <v>1972</v>
      </c>
      <c r="L81" s="8">
        <v>20</v>
      </c>
      <c r="M81" s="8" t="s">
        <v>124</v>
      </c>
      <c r="N81" s="8" t="s">
        <v>125</v>
      </c>
      <c r="O81" s="8">
        <v>0.85</v>
      </c>
      <c r="P81" s="13"/>
      <c r="Q81" s="16">
        <v>0.733</v>
      </c>
      <c r="R81" s="13"/>
      <c r="S81" s="21">
        <v>0.2932</v>
      </c>
      <c r="T81" s="22">
        <v>0.4398</v>
      </c>
      <c r="U81" s="13"/>
      <c r="V81" s="13"/>
      <c r="W81" s="13"/>
      <c r="X81" s="13"/>
      <c r="Y81" s="13"/>
      <c r="Z81" s="10"/>
      <c r="AA81" s="10"/>
      <c r="AB81" s="10"/>
      <c r="AC81" s="10"/>
      <c r="AD81" s="8">
        <v>2011</v>
      </c>
      <c r="AE81" s="8">
        <v>15</v>
      </c>
      <c r="AF81" s="8" t="s">
        <v>126</v>
      </c>
      <c r="AG81" s="8" t="s">
        <v>127</v>
      </c>
      <c r="AH81" s="8">
        <v>0.85</v>
      </c>
      <c r="AI81" s="8"/>
    </row>
    <row r="82" spans="1:35" ht="12.75">
      <c r="A82" s="14"/>
      <c r="B82" s="15" t="s">
        <v>156</v>
      </c>
      <c r="C82" s="13"/>
      <c r="D82" s="13"/>
      <c r="E82" s="13"/>
      <c r="F82" s="13"/>
      <c r="G82" s="13"/>
      <c r="H82" s="13"/>
      <c r="I82" s="13"/>
      <c r="J82" s="13"/>
      <c r="K82" s="8"/>
      <c r="L82" s="8"/>
      <c r="M82" s="13"/>
      <c r="N82" s="13"/>
      <c r="O82" s="8"/>
      <c r="P82" s="13"/>
      <c r="Q82" s="13"/>
      <c r="R82" s="13"/>
      <c r="S82" s="13"/>
      <c r="T82" s="8"/>
      <c r="U82" s="13"/>
      <c r="V82" s="13"/>
      <c r="W82" s="13"/>
      <c r="X82" s="13"/>
      <c r="Y82" s="13"/>
      <c r="Z82" s="10"/>
      <c r="AA82" s="10"/>
      <c r="AB82" s="10"/>
      <c r="AC82" s="10"/>
      <c r="AD82" s="8"/>
      <c r="AE82" s="8"/>
      <c r="AF82" s="10"/>
      <c r="AG82" s="8"/>
      <c r="AH82" s="8"/>
      <c r="AI82" s="8"/>
    </row>
    <row r="83" spans="1:35" ht="12.75">
      <c r="A83" s="14"/>
      <c r="B83" s="3" t="s">
        <v>122</v>
      </c>
      <c r="C83" s="13"/>
      <c r="D83" s="13"/>
      <c r="E83" s="13"/>
      <c r="F83" s="13"/>
      <c r="G83" s="13"/>
      <c r="H83" s="13"/>
      <c r="I83" s="13"/>
      <c r="J83" s="13"/>
      <c r="K83" s="8"/>
      <c r="L83" s="8"/>
      <c r="M83" s="13"/>
      <c r="N83" s="13"/>
      <c r="O83" s="8"/>
      <c r="P83" s="13"/>
      <c r="Q83" s="13"/>
      <c r="R83" s="13"/>
      <c r="S83" s="13"/>
      <c r="T83" s="8"/>
      <c r="U83" s="13"/>
      <c r="V83" s="13"/>
      <c r="W83" s="13"/>
      <c r="X83" s="13"/>
      <c r="Y83" s="13"/>
      <c r="Z83" s="10"/>
      <c r="AA83" s="10"/>
      <c r="AB83" s="10"/>
      <c r="AC83" s="10"/>
      <c r="AD83" s="8"/>
      <c r="AE83" s="8"/>
      <c r="AF83" s="10"/>
      <c r="AG83" s="8"/>
      <c r="AH83" s="23"/>
      <c r="AI83" s="8"/>
    </row>
    <row r="84" spans="1:35" ht="12.75">
      <c r="A84" s="8"/>
      <c r="B84" s="13" t="s">
        <v>157</v>
      </c>
      <c r="C84" s="13"/>
      <c r="D84" s="13"/>
      <c r="E84" s="13"/>
      <c r="F84" s="13"/>
      <c r="G84" s="13"/>
      <c r="H84" s="13"/>
      <c r="I84" s="13"/>
      <c r="J84" s="13"/>
      <c r="K84" s="8">
        <v>1972</v>
      </c>
      <c r="L84" s="8">
        <v>18.5</v>
      </c>
      <c r="M84" s="13" t="s">
        <v>129</v>
      </c>
      <c r="N84" s="13" t="s">
        <v>130</v>
      </c>
      <c r="O84" s="8">
        <v>0.25</v>
      </c>
      <c r="P84" s="13"/>
      <c r="Q84" s="16">
        <v>0.216</v>
      </c>
      <c r="R84" s="13"/>
      <c r="S84" s="21">
        <v>0.0864</v>
      </c>
      <c r="T84" s="22">
        <v>0.1296</v>
      </c>
      <c r="U84" s="13"/>
      <c r="V84" s="13"/>
      <c r="W84" s="13"/>
      <c r="X84" s="13"/>
      <c r="Y84" s="13"/>
      <c r="Z84" s="10"/>
      <c r="AA84" s="10"/>
      <c r="AB84" s="10"/>
      <c r="AC84" s="10"/>
      <c r="AD84" s="8">
        <v>2011</v>
      </c>
      <c r="AE84" s="8">
        <v>15</v>
      </c>
      <c r="AF84" s="8" t="s">
        <v>126</v>
      </c>
      <c r="AG84" s="8" t="s">
        <v>127</v>
      </c>
      <c r="AH84" s="8">
        <v>0.25</v>
      </c>
      <c r="AI84" s="8"/>
    </row>
    <row r="85" spans="1:35" ht="12.75">
      <c r="A85" s="8"/>
      <c r="B85" s="13" t="s">
        <v>158</v>
      </c>
      <c r="C85" s="13"/>
      <c r="D85" s="13"/>
      <c r="E85" s="13"/>
      <c r="F85" s="13"/>
      <c r="G85" s="13"/>
      <c r="H85" s="13"/>
      <c r="I85" s="13"/>
      <c r="J85" s="13"/>
      <c r="K85" s="8">
        <v>1969</v>
      </c>
      <c r="L85" s="8">
        <v>18.5</v>
      </c>
      <c r="M85" s="13" t="s">
        <v>129</v>
      </c>
      <c r="N85" s="13" t="s">
        <v>130</v>
      </c>
      <c r="O85" s="8">
        <v>0.7</v>
      </c>
      <c r="P85" s="13"/>
      <c r="Q85" s="16">
        <v>0.604</v>
      </c>
      <c r="R85" s="13"/>
      <c r="S85" s="21">
        <v>0.2416</v>
      </c>
      <c r="T85" s="22">
        <v>0.3624</v>
      </c>
      <c r="U85" s="13"/>
      <c r="V85" s="13"/>
      <c r="W85" s="13"/>
      <c r="X85" s="13"/>
      <c r="Y85" s="13"/>
      <c r="Z85" s="10"/>
      <c r="AA85" s="10"/>
      <c r="AB85" s="10"/>
      <c r="AC85" s="10"/>
      <c r="AD85" s="8">
        <v>2011</v>
      </c>
      <c r="AE85" s="8">
        <v>15</v>
      </c>
      <c r="AF85" s="8" t="s">
        <v>126</v>
      </c>
      <c r="AG85" s="8" t="s">
        <v>127</v>
      </c>
      <c r="AH85" s="8">
        <v>0.7</v>
      </c>
      <c r="AI85" s="8"/>
    </row>
    <row r="86" spans="1:35" ht="12.75">
      <c r="A86" s="8"/>
      <c r="B86" s="13" t="s">
        <v>159</v>
      </c>
      <c r="C86" s="13"/>
      <c r="D86" s="13"/>
      <c r="E86" s="13"/>
      <c r="F86" s="13"/>
      <c r="G86" s="13"/>
      <c r="H86" s="13"/>
      <c r="I86" s="13"/>
      <c r="J86" s="13"/>
      <c r="K86" s="8">
        <v>1981</v>
      </c>
      <c r="L86" s="8">
        <v>16.7</v>
      </c>
      <c r="M86" s="13" t="s">
        <v>83</v>
      </c>
      <c r="N86" s="13" t="s">
        <v>130</v>
      </c>
      <c r="O86" s="8">
        <v>0.7</v>
      </c>
      <c r="P86" s="13"/>
      <c r="Q86" s="16">
        <v>0.604</v>
      </c>
      <c r="R86" s="13"/>
      <c r="S86" s="21">
        <v>0.2416</v>
      </c>
      <c r="T86" s="22">
        <v>0.3624</v>
      </c>
      <c r="U86" s="13"/>
      <c r="V86" s="13"/>
      <c r="W86" s="13"/>
      <c r="X86" s="13"/>
      <c r="Y86" s="13"/>
      <c r="Z86" s="10"/>
      <c r="AA86" s="10"/>
      <c r="AB86" s="10"/>
      <c r="AC86" s="10"/>
      <c r="AD86" s="8">
        <v>2011</v>
      </c>
      <c r="AE86" s="8">
        <v>15</v>
      </c>
      <c r="AF86" s="8" t="s">
        <v>126</v>
      </c>
      <c r="AG86" s="8" t="s">
        <v>127</v>
      </c>
      <c r="AH86" s="8">
        <v>0.7</v>
      </c>
      <c r="AI86" s="8"/>
    </row>
    <row r="87" spans="1:35" ht="12.75">
      <c r="A87" s="8"/>
      <c r="B87" s="13" t="s">
        <v>160</v>
      </c>
      <c r="C87" s="13"/>
      <c r="D87" s="13"/>
      <c r="E87" s="13"/>
      <c r="F87" s="13"/>
      <c r="G87" s="13"/>
      <c r="H87" s="13"/>
      <c r="I87" s="13"/>
      <c r="J87" s="13"/>
      <c r="K87" s="8">
        <v>1988</v>
      </c>
      <c r="L87" s="8">
        <v>33</v>
      </c>
      <c r="M87" s="13" t="s">
        <v>129</v>
      </c>
      <c r="N87" s="13" t="s">
        <v>125</v>
      </c>
      <c r="O87" s="8">
        <v>0.75</v>
      </c>
      <c r="P87" s="13"/>
      <c r="Q87" s="16">
        <v>0.647</v>
      </c>
      <c r="R87" s="13"/>
      <c r="S87" s="21">
        <v>0.2588</v>
      </c>
      <c r="T87" s="22">
        <v>0.3882</v>
      </c>
      <c r="U87" s="13"/>
      <c r="V87" s="13"/>
      <c r="W87" s="13"/>
      <c r="X87" s="13"/>
      <c r="Y87" s="13"/>
      <c r="Z87" s="10"/>
      <c r="AA87" s="10"/>
      <c r="AB87" s="10"/>
      <c r="AC87" s="10"/>
      <c r="AD87" s="8">
        <v>2011</v>
      </c>
      <c r="AE87" s="8">
        <v>15</v>
      </c>
      <c r="AF87" s="8" t="s">
        <v>126</v>
      </c>
      <c r="AG87" s="8" t="s">
        <v>127</v>
      </c>
      <c r="AH87" s="8">
        <v>0.75</v>
      </c>
      <c r="AI87" s="8"/>
    </row>
    <row r="88" spans="1:35" ht="12.75">
      <c r="A88" s="8"/>
      <c r="B88" s="13" t="s">
        <v>161</v>
      </c>
      <c r="C88" s="13"/>
      <c r="D88" s="13"/>
      <c r="E88" s="13"/>
      <c r="F88" s="13"/>
      <c r="G88" s="13"/>
      <c r="H88" s="13"/>
      <c r="I88" s="13"/>
      <c r="J88" s="13"/>
      <c r="K88" s="8">
        <v>1960</v>
      </c>
      <c r="L88" s="8">
        <v>16.7</v>
      </c>
      <c r="M88" s="13" t="s">
        <v>124</v>
      </c>
      <c r="N88" s="13" t="s">
        <v>130</v>
      </c>
      <c r="O88" s="8">
        <v>0.6</v>
      </c>
      <c r="P88" s="13"/>
      <c r="Q88" s="16">
        <v>0.517</v>
      </c>
      <c r="R88" s="13"/>
      <c r="S88" s="21">
        <v>0.2068</v>
      </c>
      <c r="T88" s="22">
        <v>0.3102</v>
      </c>
      <c r="U88" s="13"/>
      <c r="V88" s="13"/>
      <c r="W88" s="13"/>
      <c r="X88" s="13"/>
      <c r="Y88" s="13"/>
      <c r="Z88" s="10"/>
      <c r="AA88" s="10"/>
      <c r="AB88" s="10"/>
      <c r="AC88" s="10"/>
      <c r="AD88" s="8">
        <v>2011</v>
      </c>
      <c r="AE88" s="8">
        <v>15</v>
      </c>
      <c r="AF88" s="8" t="s">
        <v>126</v>
      </c>
      <c r="AG88" s="8" t="s">
        <v>127</v>
      </c>
      <c r="AH88" s="8">
        <v>0.6</v>
      </c>
      <c r="AI88" s="8"/>
    </row>
    <row r="89" spans="1:35" ht="12.75">
      <c r="A89" s="14"/>
      <c r="B89" s="15" t="s">
        <v>162</v>
      </c>
      <c r="C89" s="13"/>
      <c r="D89" s="13"/>
      <c r="E89" s="13"/>
      <c r="F89" s="13"/>
      <c r="G89" s="13"/>
      <c r="H89" s="13"/>
      <c r="I89" s="13"/>
      <c r="J89" s="13"/>
      <c r="K89" s="8"/>
      <c r="L89" s="8"/>
      <c r="M89" s="8"/>
      <c r="N89" s="8"/>
      <c r="O89" s="8"/>
      <c r="P89" s="13"/>
      <c r="Q89" s="13"/>
      <c r="R89" s="13"/>
      <c r="S89" s="13"/>
      <c r="T89" s="8"/>
      <c r="U89" s="13"/>
      <c r="V89" s="13"/>
      <c r="W89" s="13"/>
      <c r="X89" s="13"/>
      <c r="Y89" s="13"/>
      <c r="Z89" s="10"/>
      <c r="AA89" s="10"/>
      <c r="AB89" s="10"/>
      <c r="AC89" s="10"/>
      <c r="AD89" s="8"/>
      <c r="AE89" s="8"/>
      <c r="AF89" s="10"/>
      <c r="AG89" s="8"/>
      <c r="AH89" s="8"/>
      <c r="AI89" s="8"/>
    </row>
    <row r="90" spans="1:35" ht="12.75">
      <c r="A90" s="14"/>
      <c r="B90" s="3" t="s">
        <v>122</v>
      </c>
      <c r="C90" s="13"/>
      <c r="D90" s="13"/>
      <c r="E90" s="13"/>
      <c r="F90" s="13"/>
      <c r="G90" s="13"/>
      <c r="H90" s="13"/>
      <c r="I90" s="13"/>
      <c r="J90" s="13"/>
      <c r="K90" s="8"/>
      <c r="L90" s="8"/>
      <c r="M90" s="8"/>
      <c r="N90" s="8"/>
      <c r="O90" s="8"/>
      <c r="P90" s="13"/>
      <c r="Q90" s="13"/>
      <c r="R90" s="13"/>
      <c r="S90" s="13"/>
      <c r="T90" s="8"/>
      <c r="U90" s="13"/>
      <c r="V90" s="13"/>
      <c r="W90" s="13"/>
      <c r="X90" s="13"/>
      <c r="Y90" s="13"/>
      <c r="Z90" s="10"/>
      <c r="AA90" s="10"/>
      <c r="AB90" s="10"/>
      <c r="AC90" s="10"/>
      <c r="AD90" s="8"/>
      <c r="AE90" s="8"/>
      <c r="AF90" s="10"/>
      <c r="AG90" s="8"/>
      <c r="AH90" s="23"/>
      <c r="AI90" s="8"/>
    </row>
    <row r="91" spans="1:35" ht="12.75">
      <c r="A91" s="8"/>
      <c r="B91" s="13" t="s">
        <v>163</v>
      </c>
      <c r="C91" s="13"/>
      <c r="D91" s="13"/>
      <c r="E91" s="13"/>
      <c r="F91" s="13"/>
      <c r="G91" s="13"/>
      <c r="H91" s="13"/>
      <c r="I91" s="13"/>
      <c r="J91" s="13"/>
      <c r="K91" s="8">
        <v>1975</v>
      </c>
      <c r="L91" s="8">
        <v>33</v>
      </c>
      <c r="M91" s="8" t="s">
        <v>129</v>
      </c>
      <c r="N91" s="8" t="s">
        <v>125</v>
      </c>
      <c r="O91" s="8">
        <v>0.87</v>
      </c>
      <c r="P91" s="13"/>
      <c r="Q91" s="16">
        <v>0.751</v>
      </c>
      <c r="R91" s="13"/>
      <c r="S91" s="21">
        <v>0.3004</v>
      </c>
      <c r="T91" s="22">
        <v>0.4506</v>
      </c>
      <c r="U91" s="21"/>
      <c r="V91" s="13"/>
      <c r="W91" s="13"/>
      <c r="X91" s="13"/>
      <c r="Y91" s="13"/>
      <c r="Z91" s="10"/>
      <c r="AA91" s="10"/>
      <c r="AB91" s="10"/>
      <c r="AC91" s="10"/>
      <c r="AD91" s="8">
        <v>2011</v>
      </c>
      <c r="AE91" s="8">
        <v>15</v>
      </c>
      <c r="AF91" s="8" t="s">
        <v>126</v>
      </c>
      <c r="AG91" s="8" t="s">
        <v>127</v>
      </c>
      <c r="AH91" s="23">
        <v>0.87</v>
      </c>
      <c r="AI91" s="8"/>
    </row>
    <row r="92" spans="1:35" ht="12.75">
      <c r="A92" s="8"/>
      <c r="B92" s="13" t="s">
        <v>164</v>
      </c>
      <c r="C92" s="13"/>
      <c r="D92" s="13"/>
      <c r="E92" s="13"/>
      <c r="F92" s="13"/>
      <c r="G92" s="13"/>
      <c r="H92" s="13"/>
      <c r="I92" s="13"/>
      <c r="J92" s="13"/>
      <c r="K92" s="8">
        <v>1975</v>
      </c>
      <c r="L92" s="8">
        <v>33</v>
      </c>
      <c r="M92" s="8" t="s">
        <v>83</v>
      </c>
      <c r="N92" s="8" t="s">
        <v>130</v>
      </c>
      <c r="O92" s="32">
        <v>0.88</v>
      </c>
      <c r="P92" s="13"/>
      <c r="Q92" s="16">
        <v>0.759</v>
      </c>
      <c r="R92" s="13"/>
      <c r="S92" s="21">
        <v>0.3036</v>
      </c>
      <c r="T92" s="22">
        <v>0.4554</v>
      </c>
      <c r="U92" s="21"/>
      <c r="V92" s="13"/>
      <c r="W92" s="13"/>
      <c r="X92" s="13"/>
      <c r="Y92" s="13"/>
      <c r="Z92" s="10"/>
      <c r="AA92" s="10"/>
      <c r="AB92" s="10"/>
      <c r="AC92" s="10"/>
      <c r="AD92" s="8">
        <v>2011</v>
      </c>
      <c r="AE92" s="8">
        <v>15</v>
      </c>
      <c r="AF92" s="8" t="s">
        <v>126</v>
      </c>
      <c r="AG92" s="8" t="s">
        <v>127</v>
      </c>
      <c r="AH92" s="23">
        <v>0.88</v>
      </c>
      <c r="AI92" s="8"/>
    </row>
    <row r="93" spans="1:35" ht="12.75">
      <c r="A93" s="8"/>
      <c r="B93" s="13" t="s">
        <v>165</v>
      </c>
      <c r="C93" s="13"/>
      <c r="D93" s="13"/>
      <c r="E93" s="13"/>
      <c r="F93" s="13"/>
      <c r="G93" s="13"/>
      <c r="H93" s="13"/>
      <c r="I93" s="13"/>
      <c r="J93" s="13"/>
      <c r="K93" s="8">
        <v>1975</v>
      </c>
      <c r="L93" s="8">
        <v>33</v>
      </c>
      <c r="M93" s="8" t="s">
        <v>83</v>
      </c>
      <c r="N93" s="8" t="s">
        <v>130</v>
      </c>
      <c r="O93" s="8">
        <v>0.5</v>
      </c>
      <c r="P93" s="13"/>
      <c r="Q93" s="16">
        <v>0.431</v>
      </c>
      <c r="R93" s="13"/>
      <c r="S93" s="21">
        <v>0.1724</v>
      </c>
      <c r="T93" s="22">
        <v>0.2586</v>
      </c>
      <c r="U93" s="21"/>
      <c r="V93" s="13"/>
      <c r="W93" s="13"/>
      <c r="X93" s="13"/>
      <c r="Y93" s="13"/>
      <c r="Z93" s="10"/>
      <c r="AA93" s="10"/>
      <c r="AB93" s="10"/>
      <c r="AC93" s="10"/>
      <c r="AD93" s="8">
        <v>2011</v>
      </c>
      <c r="AE93" s="8">
        <v>15</v>
      </c>
      <c r="AF93" s="8" t="s">
        <v>126</v>
      </c>
      <c r="AG93" s="8" t="s">
        <v>127</v>
      </c>
      <c r="AH93" s="23">
        <v>0.5</v>
      </c>
      <c r="AI93" s="8"/>
    </row>
    <row r="94" spans="1:35" ht="12.75">
      <c r="A94" s="8"/>
      <c r="B94" s="13" t="s">
        <v>166</v>
      </c>
      <c r="C94" s="13"/>
      <c r="D94" s="13"/>
      <c r="E94" s="13"/>
      <c r="F94" s="13"/>
      <c r="G94" s="13"/>
      <c r="H94" s="13"/>
      <c r="I94" s="13"/>
      <c r="J94" s="13"/>
      <c r="K94" s="8">
        <v>1970</v>
      </c>
      <c r="L94" s="8">
        <v>33</v>
      </c>
      <c r="M94" s="8" t="s">
        <v>83</v>
      </c>
      <c r="N94" s="8" t="s">
        <v>130</v>
      </c>
      <c r="O94" s="8">
        <v>0.4</v>
      </c>
      <c r="P94" s="13"/>
      <c r="Q94" s="16">
        <v>0.345</v>
      </c>
      <c r="R94" s="13"/>
      <c r="S94" s="21">
        <v>0.138</v>
      </c>
      <c r="T94" s="22">
        <v>0.207</v>
      </c>
      <c r="U94" s="21"/>
      <c r="V94" s="13"/>
      <c r="W94" s="13"/>
      <c r="X94" s="13"/>
      <c r="Y94" s="13"/>
      <c r="Z94" s="10"/>
      <c r="AA94" s="10"/>
      <c r="AB94" s="10"/>
      <c r="AC94" s="10"/>
      <c r="AD94" s="8">
        <v>2011</v>
      </c>
      <c r="AE94" s="8">
        <v>15</v>
      </c>
      <c r="AF94" s="8" t="s">
        <v>126</v>
      </c>
      <c r="AG94" s="8" t="s">
        <v>127</v>
      </c>
      <c r="AH94" s="23">
        <v>0.4</v>
      </c>
      <c r="AI94" s="8"/>
    </row>
    <row r="95" spans="1:35" ht="12.75">
      <c r="A95" s="8"/>
      <c r="B95" s="13" t="s">
        <v>167</v>
      </c>
      <c r="C95" s="13"/>
      <c r="D95" s="13"/>
      <c r="E95" s="13"/>
      <c r="F95" s="13"/>
      <c r="G95" s="13"/>
      <c r="H95" s="13"/>
      <c r="I95" s="13"/>
      <c r="J95" s="13"/>
      <c r="K95" s="8">
        <v>1970</v>
      </c>
      <c r="L95" s="8">
        <v>33</v>
      </c>
      <c r="M95" s="8" t="s">
        <v>83</v>
      </c>
      <c r="N95" s="8" t="s">
        <v>130</v>
      </c>
      <c r="O95" s="8">
        <v>0.32</v>
      </c>
      <c r="P95" s="13"/>
      <c r="Q95" s="16">
        <v>0.276</v>
      </c>
      <c r="R95" s="13"/>
      <c r="S95" s="21">
        <v>0.1104</v>
      </c>
      <c r="T95" s="22">
        <v>0.1656</v>
      </c>
      <c r="U95" s="21"/>
      <c r="V95" s="13"/>
      <c r="W95" s="13"/>
      <c r="X95" s="13"/>
      <c r="Y95" s="13"/>
      <c r="Z95" s="10"/>
      <c r="AA95" s="10"/>
      <c r="AB95" s="10"/>
      <c r="AC95" s="10"/>
      <c r="AD95" s="8">
        <v>2011</v>
      </c>
      <c r="AE95" s="8">
        <v>15</v>
      </c>
      <c r="AF95" s="8" t="s">
        <v>126</v>
      </c>
      <c r="AG95" s="8" t="s">
        <v>127</v>
      </c>
      <c r="AH95" s="23">
        <v>0.32</v>
      </c>
      <c r="AI95" s="8"/>
    </row>
    <row r="96" spans="1:35" ht="12.75">
      <c r="A96" s="8"/>
      <c r="B96" s="13" t="s">
        <v>168</v>
      </c>
      <c r="C96" s="13"/>
      <c r="D96" s="13"/>
      <c r="E96" s="13"/>
      <c r="F96" s="13"/>
      <c r="G96" s="13"/>
      <c r="H96" s="13"/>
      <c r="I96" s="13"/>
      <c r="J96" s="13"/>
      <c r="K96" s="8">
        <v>1973</v>
      </c>
      <c r="L96" s="8">
        <v>33</v>
      </c>
      <c r="M96" s="8" t="s">
        <v>83</v>
      </c>
      <c r="N96" s="8" t="s">
        <v>130</v>
      </c>
      <c r="O96" s="8">
        <v>0.21</v>
      </c>
      <c r="P96" s="13"/>
      <c r="Q96" s="16">
        <v>0.181</v>
      </c>
      <c r="R96" s="13"/>
      <c r="S96" s="21">
        <v>0.0724</v>
      </c>
      <c r="T96" s="22">
        <v>0.1086</v>
      </c>
      <c r="U96" s="21"/>
      <c r="V96" s="13"/>
      <c r="W96" s="13"/>
      <c r="X96" s="13"/>
      <c r="Y96" s="13"/>
      <c r="Z96" s="10"/>
      <c r="AA96" s="10"/>
      <c r="AB96" s="10"/>
      <c r="AC96" s="10"/>
      <c r="AD96" s="8">
        <v>2011</v>
      </c>
      <c r="AE96" s="8">
        <v>15</v>
      </c>
      <c r="AF96" s="8" t="s">
        <v>126</v>
      </c>
      <c r="AG96" s="8" t="s">
        <v>127</v>
      </c>
      <c r="AH96" s="23">
        <v>0.21</v>
      </c>
      <c r="AI96" s="8"/>
    </row>
    <row r="97" spans="1:35" ht="12.75">
      <c r="A97" s="14"/>
      <c r="B97" s="15" t="s">
        <v>169</v>
      </c>
      <c r="C97" s="13"/>
      <c r="D97" s="13"/>
      <c r="E97" s="13"/>
      <c r="F97" s="13"/>
      <c r="G97" s="13"/>
      <c r="H97" s="13"/>
      <c r="I97" s="13"/>
      <c r="J97" s="13"/>
      <c r="K97" s="8"/>
      <c r="L97" s="8"/>
      <c r="M97" s="8"/>
      <c r="N97" s="8"/>
      <c r="O97" s="8"/>
      <c r="P97" s="13"/>
      <c r="Q97" s="13"/>
      <c r="R97" s="13"/>
      <c r="S97" s="13"/>
      <c r="T97" s="8"/>
      <c r="U97" s="13"/>
      <c r="V97" s="13"/>
      <c r="W97" s="13"/>
      <c r="X97" s="13"/>
      <c r="Y97" s="13"/>
      <c r="Z97" s="10"/>
      <c r="AA97" s="10"/>
      <c r="AB97" s="10"/>
      <c r="AC97" s="10"/>
      <c r="AD97" s="8"/>
      <c r="AE97" s="8"/>
      <c r="AF97" s="10"/>
      <c r="AG97" s="8"/>
      <c r="AH97" s="8"/>
      <c r="AI97" s="8"/>
    </row>
    <row r="98" spans="1:35" ht="12.75">
      <c r="A98" s="14"/>
      <c r="B98" s="3" t="s">
        <v>122</v>
      </c>
      <c r="C98" s="13"/>
      <c r="D98" s="13"/>
      <c r="E98" s="13"/>
      <c r="F98" s="13"/>
      <c r="G98" s="13"/>
      <c r="H98" s="13"/>
      <c r="I98" s="13"/>
      <c r="J98" s="13"/>
      <c r="K98" s="8"/>
      <c r="L98" s="8"/>
      <c r="M98" s="8"/>
      <c r="N98" s="8"/>
      <c r="O98" s="8"/>
      <c r="P98" s="13"/>
      <c r="Q98" s="13"/>
      <c r="R98" s="13"/>
      <c r="S98" s="13"/>
      <c r="T98" s="8"/>
      <c r="U98" s="13"/>
      <c r="V98" s="13"/>
      <c r="W98" s="13"/>
      <c r="X98" s="13"/>
      <c r="Y98" s="13"/>
      <c r="Z98" s="10"/>
      <c r="AA98" s="10"/>
      <c r="AB98" s="10"/>
      <c r="AC98" s="10"/>
      <c r="AD98" s="8"/>
      <c r="AE98" s="8"/>
      <c r="AF98" s="10"/>
      <c r="AG98" s="8"/>
      <c r="AH98" s="23"/>
      <c r="AI98" s="8"/>
    </row>
    <row r="99" spans="1:35" ht="12.75">
      <c r="A99" s="8"/>
      <c r="B99" s="13" t="s">
        <v>170</v>
      </c>
      <c r="C99" s="13"/>
      <c r="D99" s="13"/>
      <c r="E99" s="13"/>
      <c r="F99" s="13"/>
      <c r="G99" s="13"/>
      <c r="H99" s="13"/>
      <c r="I99" s="13"/>
      <c r="J99" s="13"/>
      <c r="K99" s="8">
        <v>1952</v>
      </c>
      <c r="L99" s="8">
        <v>25</v>
      </c>
      <c r="M99" s="8" t="s">
        <v>129</v>
      </c>
      <c r="N99" s="8" t="s">
        <v>130</v>
      </c>
      <c r="O99" s="8">
        <v>1.2</v>
      </c>
      <c r="P99" s="13"/>
      <c r="Q99" s="16">
        <v>1.037</v>
      </c>
      <c r="R99" s="13"/>
      <c r="S99" s="21">
        <v>0.4148</v>
      </c>
      <c r="T99" s="22">
        <v>0.6222</v>
      </c>
      <c r="U99" s="13"/>
      <c r="V99" s="13"/>
      <c r="W99" s="13"/>
      <c r="X99" s="13"/>
      <c r="Y99" s="13"/>
      <c r="Z99" s="10"/>
      <c r="AA99" s="10"/>
      <c r="AB99" s="10"/>
      <c r="AC99" s="10"/>
      <c r="AD99" s="8">
        <v>2011</v>
      </c>
      <c r="AE99" s="8">
        <v>15</v>
      </c>
      <c r="AF99" s="8" t="s">
        <v>126</v>
      </c>
      <c r="AG99" s="8" t="s">
        <v>127</v>
      </c>
      <c r="AH99" s="8">
        <v>1.2</v>
      </c>
      <c r="AI99" s="8"/>
    </row>
    <row r="100" spans="1:35" ht="12.75">
      <c r="A100" s="8"/>
      <c r="B100" s="13" t="s">
        <v>171</v>
      </c>
      <c r="C100" s="13"/>
      <c r="D100" s="13"/>
      <c r="E100" s="13"/>
      <c r="F100" s="13"/>
      <c r="G100" s="13"/>
      <c r="H100" s="13"/>
      <c r="I100" s="13"/>
      <c r="J100" s="13"/>
      <c r="K100" s="8">
        <v>1976</v>
      </c>
      <c r="L100" s="8">
        <v>33</v>
      </c>
      <c r="M100" s="8" t="s">
        <v>83</v>
      </c>
      <c r="N100" s="8" t="s">
        <v>130</v>
      </c>
      <c r="O100" s="8">
        <v>0.6</v>
      </c>
      <c r="P100" s="13"/>
      <c r="Q100" s="16">
        <v>0.517</v>
      </c>
      <c r="R100" s="13"/>
      <c r="S100" s="21">
        <v>0.2068</v>
      </c>
      <c r="T100" s="22">
        <v>0.3102</v>
      </c>
      <c r="U100" s="13"/>
      <c r="V100" s="13"/>
      <c r="W100" s="13"/>
      <c r="X100" s="13"/>
      <c r="Y100" s="13"/>
      <c r="Z100" s="10"/>
      <c r="AA100" s="10"/>
      <c r="AB100" s="10"/>
      <c r="AC100" s="10"/>
      <c r="AD100" s="8">
        <v>2011</v>
      </c>
      <c r="AE100" s="8">
        <v>15</v>
      </c>
      <c r="AF100" s="8" t="s">
        <v>126</v>
      </c>
      <c r="AG100" s="8" t="s">
        <v>127</v>
      </c>
      <c r="AH100" s="8">
        <v>0.6</v>
      </c>
      <c r="AI100" s="8"/>
    </row>
    <row r="101" spans="1:35" ht="12.75">
      <c r="A101" s="8"/>
      <c r="B101" s="13" t="s">
        <v>172</v>
      </c>
      <c r="C101" s="13"/>
      <c r="D101" s="13"/>
      <c r="E101" s="13"/>
      <c r="F101" s="13"/>
      <c r="G101" s="13"/>
      <c r="H101" s="13"/>
      <c r="I101" s="13"/>
      <c r="J101" s="13"/>
      <c r="K101" s="8">
        <v>1968</v>
      </c>
      <c r="L101" s="8">
        <v>33</v>
      </c>
      <c r="M101" s="8" t="s">
        <v>83</v>
      </c>
      <c r="N101" s="8" t="s">
        <v>130</v>
      </c>
      <c r="O101" s="8">
        <v>0.7</v>
      </c>
      <c r="P101" s="13"/>
      <c r="Q101" s="16">
        <v>0.603</v>
      </c>
      <c r="R101" s="13"/>
      <c r="S101" s="21">
        <v>0.2412</v>
      </c>
      <c r="T101" s="22">
        <v>0.3618</v>
      </c>
      <c r="U101" s="13"/>
      <c r="V101" s="13"/>
      <c r="W101" s="13"/>
      <c r="X101" s="13"/>
      <c r="Y101" s="13"/>
      <c r="Z101" s="10"/>
      <c r="AA101" s="10"/>
      <c r="AB101" s="10"/>
      <c r="AC101" s="10"/>
      <c r="AD101" s="8">
        <v>2011</v>
      </c>
      <c r="AE101" s="8">
        <v>15</v>
      </c>
      <c r="AF101" s="8" t="s">
        <v>126</v>
      </c>
      <c r="AG101" s="8" t="s">
        <v>127</v>
      </c>
      <c r="AH101" s="8">
        <v>0.7</v>
      </c>
      <c r="AI101" s="8"/>
    </row>
    <row r="102" spans="1:35" s="20" customFormat="1" ht="12.75">
      <c r="A102" s="11"/>
      <c r="B102" s="3" t="s">
        <v>50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24"/>
      <c r="N102" s="3"/>
      <c r="O102" s="24">
        <f>SUM(O54:O101)</f>
        <v>23.699999999999996</v>
      </c>
      <c r="P102" s="3"/>
      <c r="Q102" s="24">
        <f>SUM(Q54:Q101)</f>
        <v>20.446999999999996</v>
      </c>
      <c r="R102" s="3"/>
      <c r="S102" s="3"/>
      <c r="T102" s="3"/>
      <c r="U102" s="3"/>
      <c r="V102" s="3"/>
      <c r="W102" s="3"/>
      <c r="X102" s="3"/>
      <c r="Y102" s="3"/>
      <c r="Z102" s="19"/>
      <c r="AA102" s="19"/>
      <c r="AB102" s="19"/>
      <c r="AC102" s="19"/>
      <c r="AD102" s="19"/>
      <c r="AE102" s="19"/>
      <c r="AF102" s="24"/>
      <c r="AG102" s="19"/>
      <c r="AH102" s="24">
        <f>SUM(AH54:AH101)</f>
        <v>23.699999999999996</v>
      </c>
      <c r="AI102" s="19"/>
    </row>
    <row r="103" spans="1:35" s="20" customFormat="1" ht="12.75">
      <c r="A103" s="11"/>
      <c r="B103" s="3" t="s">
        <v>51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24"/>
      <c r="N103" s="3"/>
      <c r="O103" s="24">
        <v>34.2</v>
      </c>
      <c r="P103" s="24"/>
      <c r="Q103" s="24">
        <v>29.5</v>
      </c>
      <c r="R103" s="24"/>
      <c r="S103" s="24"/>
      <c r="T103" s="24"/>
      <c r="U103" s="24"/>
      <c r="V103" s="24"/>
      <c r="W103" s="24"/>
      <c r="X103" s="24"/>
      <c r="Y103" s="24"/>
      <c r="Z103" s="35"/>
      <c r="AA103" s="35"/>
      <c r="AB103" s="35"/>
      <c r="AC103" s="35"/>
      <c r="AD103" s="35"/>
      <c r="AE103" s="35"/>
      <c r="AF103" s="24"/>
      <c r="AG103" s="35"/>
      <c r="AH103" s="24">
        <v>34.2</v>
      </c>
      <c r="AI103" s="19"/>
    </row>
    <row r="104" spans="1:35" ht="12.75">
      <c r="A104" s="11" t="s">
        <v>173</v>
      </c>
      <c r="B104" s="12" t="s">
        <v>174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</row>
    <row r="105" spans="1:35" ht="12.75">
      <c r="A105" s="33" t="s">
        <v>175</v>
      </c>
      <c r="B105" s="13" t="s">
        <v>176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</row>
    <row r="106" spans="1:35" ht="12.75">
      <c r="A106" s="8"/>
      <c r="B106" s="13" t="s">
        <v>177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8" t="s">
        <v>178</v>
      </c>
      <c r="Q106" s="21">
        <v>0.0075</v>
      </c>
      <c r="R106" s="13"/>
      <c r="S106" s="13"/>
      <c r="T106" s="13"/>
      <c r="U106" s="13"/>
      <c r="V106" s="13"/>
      <c r="W106" s="13"/>
      <c r="X106" s="13"/>
      <c r="Y106" s="13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</row>
    <row r="107" spans="1:35" ht="12.75">
      <c r="A107" s="8"/>
      <c r="B107" s="13" t="s">
        <v>179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8" t="s">
        <v>180</v>
      </c>
      <c r="Q107" s="21">
        <v>0.006</v>
      </c>
      <c r="R107" s="13"/>
      <c r="S107" s="13"/>
      <c r="T107" s="13"/>
      <c r="U107" s="13"/>
      <c r="V107" s="13"/>
      <c r="W107" s="13"/>
      <c r="X107" s="13"/>
      <c r="Y107" s="13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</row>
    <row r="108" spans="1:35" ht="12.75">
      <c r="A108" s="8"/>
      <c r="B108" s="13" t="s">
        <v>181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8" t="s">
        <v>182</v>
      </c>
      <c r="Q108" s="21">
        <v>0.0062</v>
      </c>
      <c r="R108" s="13"/>
      <c r="S108" s="13"/>
      <c r="T108" s="13"/>
      <c r="U108" s="13"/>
      <c r="V108" s="13"/>
      <c r="W108" s="13"/>
      <c r="X108" s="13"/>
      <c r="Y108" s="13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</row>
    <row r="109" spans="1:35" ht="12.75">
      <c r="A109" s="8"/>
      <c r="B109" s="13" t="s">
        <v>183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8" t="s">
        <v>184</v>
      </c>
      <c r="Q109" s="21">
        <v>0.0144</v>
      </c>
      <c r="R109" s="13"/>
      <c r="S109" s="13"/>
      <c r="T109" s="13"/>
      <c r="U109" s="13"/>
      <c r="V109" s="13"/>
      <c r="W109" s="13"/>
      <c r="X109" s="13"/>
      <c r="Y109" s="13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</row>
    <row r="110" spans="1:35" ht="12.75">
      <c r="A110" s="8"/>
      <c r="B110" s="13" t="s">
        <v>185</v>
      </c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8" t="s">
        <v>186</v>
      </c>
      <c r="Q110" s="21">
        <v>1.484</v>
      </c>
      <c r="R110" s="13"/>
      <c r="S110" s="13"/>
      <c r="T110" s="13"/>
      <c r="U110" s="13"/>
      <c r="V110" s="13"/>
      <c r="W110" s="13"/>
      <c r="X110" s="13"/>
      <c r="Y110" s="13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</row>
    <row r="111" spans="1:35" ht="12.75">
      <c r="A111" s="8"/>
      <c r="B111" s="13" t="s">
        <v>187</v>
      </c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8" t="s">
        <v>188</v>
      </c>
      <c r="Q111" s="21">
        <v>0.012</v>
      </c>
      <c r="R111" s="13"/>
      <c r="S111" s="13"/>
      <c r="T111" s="13"/>
      <c r="U111" s="13"/>
      <c r="V111" s="13"/>
      <c r="W111" s="13"/>
      <c r="X111" s="13"/>
      <c r="Y111" s="13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</row>
    <row r="112" spans="1:35" ht="12.75">
      <c r="A112" s="8"/>
      <c r="B112" s="13" t="s">
        <v>189</v>
      </c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8" t="s">
        <v>190</v>
      </c>
      <c r="Q112" s="21">
        <v>0.0102</v>
      </c>
      <c r="R112" s="13"/>
      <c r="S112" s="13"/>
      <c r="T112" s="13"/>
      <c r="U112" s="13"/>
      <c r="V112" s="13"/>
      <c r="W112" s="13"/>
      <c r="X112" s="13"/>
      <c r="Y112" s="13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</row>
    <row r="113" spans="1:35" ht="12.75">
      <c r="A113" s="8"/>
      <c r="B113" s="13" t="s">
        <v>191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8" t="s">
        <v>188</v>
      </c>
      <c r="Q113" s="21">
        <v>0.015</v>
      </c>
      <c r="R113" s="13"/>
      <c r="S113" s="13"/>
      <c r="T113" s="13"/>
      <c r="U113" s="13"/>
      <c r="V113" s="13"/>
      <c r="W113" s="13"/>
      <c r="X113" s="13"/>
      <c r="Y113" s="13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</row>
    <row r="114" spans="1:35" ht="12.75">
      <c r="A114" s="8"/>
      <c r="B114" s="13" t="s">
        <v>192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8" t="s">
        <v>193</v>
      </c>
      <c r="Q114" s="36">
        <v>2</v>
      </c>
      <c r="R114" s="13"/>
      <c r="S114" s="13"/>
      <c r="T114" s="13"/>
      <c r="U114" s="13"/>
      <c r="V114" s="13"/>
      <c r="W114" s="13"/>
      <c r="X114" s="13"/>
      <c r="Y114" s="13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</row>
    <row r="115" spans="1:35" ht="12.75">
      <c r="A115" s="8"/>
      <c r="B115" s="13" t="s">
        <v>194</v>
      </c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8" t="s">
        <v>195</v>
      </c>
      <c r="Q115" s="21">
        <v>0.058</v>
      </c>
      <c r="R115" s="13"/>
      <c r="S115" s="13"/>
      <c r="T115" s="13"/>
      <c r="U115" s="13"/>
      <c r="V115" s="13"/>
      <c r="W115" s="13"/>
      <c r="X115" s="13"/>
      <c r="Y115" s="13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</row>
    <row r="116" spans="1:35" ht="12.75">
      <c r="A116" s="8"/>
      <c r="B116" s="13" t="s">
        <v>196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8" t="s">
        <v>188</v>
      </c>
      <c r="Q116" s="21">
        <v>0.042</v>
      </c>
      <c r="R116" s="13"/>
      <c r="S116" s="13"/>
      <c r="T116" s="13"/>
      <c r="U116" s="13"/>
      <c r="V116" s="13"/>
      <c r="W116" s="13"/>
      <c r="X116" s="13"/>
      <c r="Y116" s="13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</row>
    <row r="117" spans="1:35" ht="12.75">
      <c r="A117" s="8"/>
      <c r="B117" s="13" t="s">
        <v>197</v>
      </c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8" t="s">
        <v>198</v>
      </c>
      <c r="Q117" s="21">
        <v>0.0186</v>
      </c>
      <c r="R117" s="13"/>
      <c r="S117" s="13"/>
      <c r="T117" s="13"/>
      <c r="U117" s="13"/>
      <c r="V117" s="13"/>
      <c r="W117" s="13"/>
      <c r="X117" s="13"/>
      <c r="Y117" s="13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</row>
    <row r="118" spans="1:35" ht="12.75">
      <c r="A118" s="8"/>
      <c r="B118" s="13" t="s">
        <v>199</v>
      </c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8" t="s">
        <v>186</v>
      </c>
      <c r="Q118" s="21">
        <v>0.0875</v>
      </c>
      <c r="R118" s="13"/>
      <c r="S118" s="13"/>
      <c r="T118" s="13"/>
      <c r="U118" s="13"/>
      <c r="V118" s="13"/>
      <c r="W118" s="13"/>
      <c r="X118" s="13"/>
      <c r="Y118" s="13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</row>
    <row r="119" spans="1:35" s="20" customFormat="1" ht="12.75">
      <c r="A119" s="3"/>
      <c r="B119" s="3" t="s">
        <v>200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3"/>
      <c r="Q119" s="25">
        <v>3.761399999999999</v>
      </c>
      <c r="R119" s="17"/>
      <c r="S119" s="17"/>
      <c r="T119" s="17"/>
      <c r="U119" s="17"/>
      <c r="V119" s="17"/>
      <c r="W119" s="17"/>
      <c r="X119" s="17"/>
      <c r="Y119" s="17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</row>
    <row r="120" spans="1:35" ht="12.75">
      <c r="A120" s="33" t="s">
        <v>201</v>
      </c>
      <c r="B120" s="13" t="s">
        <v>202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</row>
    <row r="121" spans="1:35" ht="12.75">
      <c r="A121" s="33"/>
      <c r="B121" s="13" t="s">
        <v>203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 t="s">
        <v>204</v>
      </c>
      <c r="Q121" s="21">
        <v>0.3486</v>
      </c>
      <c r="R121" s="13"/>
      <c r="S121" s="13"/>
      <c r="T121" s="13"/>
      <c r="U121" s="13"/>
      <c r="V121" s="13"/>
      <c r="W121" s="13"/>
      <c r="X121" s="13"/>
      <c r="Y121" s="13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</row>
    <row r="122" spans="1:35" ht="12.75">
      <c r="A122" s="33"/>
      <c r="B122" s="13" t="s">
        <v>205</v>
      </c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 t="s">
        <v>193</v>
      </c>
      <c r="Q122" s="21">
        <v>0.3307</v>
      </c>
      <c r="R122" s="13"/>
      <c r="S122" s="13"/>
      <c r="T122" s="13"/>
      <c r="U122" s="13"/>
      <c r="V122" s="13"/>
      <c r="W122" s="13"/>
      <c r="X122" s="13"/>
      <c r="Y122" s="13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</row>
    <row r="123" spans="1:35" ht="12.75">
      <c r="A123" s="8"/>
      <c r="B123" s="13" t="s">
        <v>206</v>
      </c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8" t="s">
        <v>207</v>
      </c>
      <c r="Q123" s="37">
        <v>11.325</v>
      </c>
      <c r="R123" s="13"/>
      <c r="S123" s="13"/>
      <c r="T123" s="13"/>
      <c r="U123" s="13"/>
      <c r="V123" s="17"/>
      <c r="W123" s="17"/>
      <c r="X123" s="17"/>
      <c r="Y123" s="17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</row>
    <row r="124" spans="1:35" ht="12.75">
      <c r="A124" s="8"/>
      <c r="B124" s="13" t="s">
        <v>208</v>
      </c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34" t="s">
        <v>198</v>
      </c>
      <c r="Q124" s="37">
        <v>1.4901</v>
      </c>
      <c r="R124" s="13"/>
      <c r="S124" s="13"/>
      <c r="T124" s="13"/>
      <c r="U124" s="13"/>
      <c r="V124" s="13"/>
      <c r="W124" s="13"/>
      <c r="X124" s="13"/>
      <c r="Y124" s="13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</row>
    <row r="125" spans="1:35" ht="12.75">
      <c r="A125" s="8"/>
      <c r="B125" s="13" t="s">
        <v>209</v>
      </c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34" t="s">
        <v>195</v>
      </c>
      <c r="Q125" s="21">
        <v>0.9912000000000001</v>
      </c>
      <c r="R125" s="13"/>
      <c r="S125" s="13"/>
      <c r="T125" s="13"/>
      <c r="U125" s="13"/>
      <c r="V125" s="13"/>
      <c r="W125" s="13"/>
      <c r="X125" s="13"/>
      <c r="Y125" s="13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</row>
    <row r="126" spans="1:35" ht="12.75">
      <c r="A126" s="8"/>
      <c r="B126" s="13" t="s">
        <v>210</v>
      </c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8" t="s">
        <v>182</v>
      </c>
      <c r="Q126" s="37">
        <v>3.75</v>
      </c>
      <c r="R126" s="13"/>
      <c r="S126" s="13"/>
      <c r="T126" s="13"/>
      <c r="U126" s="13"/>
      <c r="V126" s="13"/>
      <c r="W126" s="13"/>
      <c r="X126" s="13"/>
      <c r="Y126" s="13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</row>
    <row r="127" spans="1:35" ht="12.75">
      <c r="A127" s="8"/>
      <c r="B127" s="13" t="s">
        <v>211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8" t="s">
        <v>182</v>
      </c>
      <c r="Q127" s="37">
        <v>2.088</v>
      </c>
      <c r="R127" s="13"/>
      <c r="S127" s="13"/>
      <c r="T127" s="13"/>
      <c r="U127" s="13"/>
      <c r="V127" s="13"/>
      <c r="W127" s="13"/>
      <c r="X127" s="13"/>
      <c r="Y127" s="13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</row>
    <row r="128" spans="1:35" s="20" customFormat="1" ht="12.75">
      <c r="A128" s="3"/>
      <c r="B128" s="3" t="s">
        <v>212</v>
      </c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3"/>
      <c r="Q128" s="38">
        <v>20.323600000000003</v>
      </c>
      <c r="R128" s="17"/>
      <c r="S128" s="17"/>
      <c r="T128" s="17"/>
      <c r="U128" s="17"/>
      <c r="V128" s="17"/>
      <c r="W128" s="17"/>
      <c r="X128" s="17"/>
      <c r="Y128" s="17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</row>
    <row r="129" spans="1:35" s="20" customFormat="1" ht="12.75">
      <c r="A129" s="3"/>
      <c r="B129" s="3" t="s">
        <v>51</v>
      </c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3"/>
      <c r="Q129" s="38">
        <v>24.085</v>
      </c>
      <c r="R129" s="17"/>
      <c r="S129" s="17"/>
      <c r="T129" s="17"/>
      <c r="U129" s="17"/>
      <c r="V129" s="17"/>
      <c r="W129" s="17"/>
      <c r="X129" s="17"/>
      <c r="Y129" s="17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</row>
    <row r="130" spans="1:35" ht="12.75">
      <c r="A130" s="3" t="s">
        <v>213</v>
      </c>
      <c r="B130" s="3" t="s">
        <v>214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13"/>
      <c r="S130" s="13"/>
      <c r="T130" s="13"/>
      <c r="U130" s="13"/>
      <c r="V130" s="3"/>
      <c r="W130" s="3"/>
      <c r="X130" s="3"/>
      <c r="Y130" s="3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</row>
    <row r="131" spans="1:35" ht="12.75">
      <c r="A131" s="39" t="s">
        <v>215</v>
      </c>
      <c r="B131" s="3" t="s">
        <v>216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10"/>
      <c r="Q131" s="10"/>
      <c r="R131" s="10"/>
      <c r="S131" s="10"/>
      <c r="T131" s="10"/>
      <c r="U131" s="13"/>
      <c r="V131" s="3"/>
      <c r="W131" s="3"/>
      <c r="X131" s="3"/>
      <c r="Y131" s="3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</row>
    <row r="132" spans="1:35" ht="12.75">
      <c r="A132" s="8">
        <v>1</v>
      </c>
      <c r="B132" s="40" t="s">
        <v>217</v>
      </c>
      <c r="C132" s="13"/>
      <c r="D132" s="13"/>
      <c r="E132" s="13"/>
      <c r="F132" s="13"/>
      <c r="G132" s="13"/>
      <c r="H132" s="13"/>
      <c r="I132" s="41"/>
      <c r="J132" s="13"/>
      <c r="K132" s="13"/>
      <c r="L132" s="13"/>
      <c r="M132" s="13"/>
      <c r="N132" s="13"/>
      <c r="O132" s="13"/>
      <c r="P132" s="8">
        <v>3</v>
      </c>
      <c r="Q132" s="42">
        <v>0.289218</v>
      </c>
      <c r="R132" s="13"/>
      <c r="S132" s="41">
        <v>0.26070299999999996</v>
      </c>
      <c r="T132" s="41">
        <v>0.028515</v>
      </c>
      <c r="U132" s="13"/>
      <c r="V132" s="13"/>
      <c r="W132" s="13"/>
      <c r="X132" s="13"/>
      <c r="Y132" s="13"/>
      <c r="Z132" s="43">
        <v>2011</v>
      </c>
      <c r="AA132" s="43">
        <v>7</v>
      </c>
      <c r="AB132" s="10"/>
      <c r="AC132" s="10"/>
      <c r="AD132" s="10"/>
      <c r="AE132" s="10"/>
      <c r="AF132" s="10"/>
      <c r="AG132" s="10"/>
      <c r="AH132" s="10"/>
      <c r="AI132" s="10"/>
    </row>
    <row r="133" spans="1:35" ht="12.75">
      <c r="A133" s="8">
        <v>2</v>
      </c>
      <c r="B133" s="40" t="s">
        <v>218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8">
        <v>2</v>
      </c>
      <c r="Q133" s="42">
        <v>0.19281199999999998</v>
      </c>
      <c r="R133" s="10"/>
      <c r="S133" s="44">
        <v>0.17380199999999998</v>
      </c>
      <c r="T133" s="41">
        <v>0.01901</v>
      </c>
      <c r="U133" s="13"/>
      <c r="V133" s="13"/>
      <c r="W133" s="13"/>
      <c r="X133" s="13"/>
      <c r="Y133" s="13"/>
      <c r="Z133" s="43">
        <v>2011</v>
      </c>
      <c r="AA133" s="43">
        <v>7</v>
      </c>
      <c r="AB133" s="10"/>
      <c r="AC133" s="10"/>
      <c r="AD133" s="10"/>
      <c r="AE133" s="10"/>
      <c r="AF133" s="10"/>
      <c r="AG133" s="10"/>
      <c r="AH133" s="10"/>
      <c r="AI133" s="10"/>
    </row>
    <row r="134" spans="1:35" ht="12.75">
      <c r="A134" s="8">
        <v>3</v>
      </c>
      <c r="B134" s="40" t="s">
        <v>219</v>
      </c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8">
        <v>2</v>
      </c>
      <c r="Q134" s="42">
        <v>0.19281199999999998</v>
      </c>
      <c r="R134" s="13"/>
      <c r="S134" s="44">
        <v>0.17380199999999998</v>
      </c>
      <c r="T134" s="41">
        <v>0.01901</v>
      </c>
      <c r="U134" s="13"/>
      <c r="V134" s="13"/>
      <c r="W134" s="13"/>
      <c r="X134" s="13"/>
      <c r="Y134" s="13"/>
      <c r="Z134" s="43">
        <v>2011</v>
      </c>
      <c r="AA134" s="43">
        <v>7</v>
      </c>
      <c r="AB134" s="10"/>
      <c r="AC134" s="10"/>
      <c r="AD134" s="10"/>
      <c r="AE134" s="10"/>
      <c r="AF134" s="10"/>
      <c r="AG134" s="10"/>
      <c r="AH134" s="10"/>
      <c r="AI134" s="10"/>
    </row>
    <row r="135" spans="1:35" ht="12.75">
      <c r="A135" s="8">
        <v>4</v>
      </c>
      <c r="B135" s="40" t="s">
        <v>220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8">
        <v>1</v>
      </c>
      <c r="Q135" s="42">
        <v>0.09640599999999999</v>
      </c>
      <c r="R135" s="13"/>
      <c r="S135" s="41">
        <v>0.08690099999999999</v>
      </c>
      <c r="T135" s="41">
        <v>0.009505</v>
      </c>
      <c r="U135" s="13"/>
      <c r="V135" s="13"/>
      <c r="W135" s="13"/>
      <c r="X135" s="13"/>
      <c r="Y135" s="13"/>
      <c r="Z135" s="43">
        <v>2011</v>
      </c>
      <c r="AA135" s="43">
        <v>7</v>
      </c>
      <c r="AB135" s="10"/>
      <c r="AC135" s="10"/>
      <c r="AD135" s="10"/>
      <c r="AE135" s="10"/>
      <c r="AF135" s="10"/>
      <c r="AG135" s="10"/>
      <c r="AH135" s="10"/>
      <c r="AI135" s="10"/>
    </row>
    <row r="136" spans="1:35" ht="12.75">
      <c r="A136" s="8">
        <v>5</v>
      </c>
      <c r="B136" s="40" t="s">
        <v>221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8">
        <v>2</v>
      </c>
      <c r="Q136" s="42">
        <v>0.19281199999999998</v>
      </c>
      <c r="R136" s="13"/>
      <c r="S136" s="44">
        <v>0.17380199999999998</v>
      </c>
      <c r="T136" s="41">
        <v>0.01901</v>
      </c>
      <c r="U136" s="13"/>
      <c r="V136" s="13"/>
      <c r="W136" s="13"/>
      <c r="X136" s="13"/>
      <c r="Y136" s="13"/>
      <c r="Z136" s="43">
        <v>2011</v>
      </c>
      <c r="AA136" s="43">
        <v>7</v>
      </c>
      <c r="AB136" s="10"/>
      <c r="AC136" s="10"/>
      <c r="AD136" s="10"/>
      <c r="AE136" s="10"/>
      <c r="AF136" s="10"/>
      <c r="AG136" s="10"/>
      <c r="AH136" s="10"/>
      <c r="AI136" s="10"/>
    </row>
    <row r="137" spans="1:35" ht="12.75">
      <c r="A137" s="8">
        <v>6</v>
      </c>
      <c r="B137" s="40" t="s">
        <v>222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8">
        <v>2</v>
      </c>
      <c r="Q137" s="42">
        <v>0.19281199999999998</v>
      </c>
      <c r="R137" s="13"/>
      <c r="S137" s="44">
        <v>0.17380199999999998</v>
      </c>
      <c r="T137" s="41">
        <v>0.01901</v>
      </c>
      <c r="U137" s="13"/>
      <c r="V137" s="13"/>
      <c r="W137" s="13"/>
      <c r="X137" s="13"/>
      <c r="Y137" s="13"/>
      <c r="Z137" s="43">
        <v>2011</v>
      </c>
      <c r="AA137" s="43">
        <v>7</v>
      </c>
      <c r="AB137" s="10"/>
      <c r="AC137" s="10"/>
      <c r="AD137" s="10"/>
      <c r="AE137" s="10"/>
      <c r="AF137" s="10"/>
      <c r="AG137" s="10"/>
      <c r="AH137" s="10"/>
      <c r="AI137" s="10"/>
    </row>
    <row r="138" spans="1:35" ht="12.75">
      <c r="A138" s="8">
        <v>7</v>
      </c>
      <c r="B138" s="40" t="s">
        <v>223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8">
        <v>2</v>
      </c>
      <c r="Q138" s="42">
        <v>0.19281199999999998</v>
      </c>
      <c r="R138" s="13"/>
      <c r="S138" s="44">
        <v>0.17380199999999998</v>
      </c>
      <c r="T138" s="41">
        <v>0.01901</v>
      </c>
      <c r="U138" s="13"/>
      <c r="V138" s="13"/>
      <c r="W138" s="13"/>
      <c r="X138" s="13"/>
      <c r="Y138" s="13"/>
      <c r="Z138" s="43">
        <v>2011</v>
      </c>
      <c r="AA138" s="43">
        <v>7</v>
      </c>
      <c r="AB138" s="10"/>
      <c r="AC138" s="10"/>
      <c r="AD138" s="10"/>
      <c r="AE138" s="10"/>
      <c r="AF138" s="10"/>
      <c r="AG138" s="10"/>
      <c r="AH138" s="10"/>
      <c r="AI138" s="10"/>
    </row>
    <row r="139" spans="1:35" ht="12.75">
      <c r="A139" s="8">
        <v>8</v>
      </c>
      <c r="B139" s="40" t="s">
        <v>224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8">
        <v>2</v>
      </c>
      <c r="Q139" s="42">
        <v>0.19281199999999998</v>
      </c>
      <c r="R139" s="13"/>
      <c r="S139" s="44">
        <v>0.17380199999999998</v>
      </c>
      <c r="T139" s="41">
        <v>0.01901</v>
      </c>
      <c r="U139" s="13"/>
      <c r="V139" s="13"/>
      <c r="W139" s="13"/>
      <c r="X139" s="13"/>
      <c r="Y139" s="13"/>
      <c r="Z139" s="43">
        <v>2011</v>
      </c>
      <c r="AA139" s="43">
        <v>7</v>
      </c>
      <c r="AB139" s="10"/>
      <c r="AC139" s="10"/>
      <c r="AD139" s="10"/>
      <c r="AE139" s="10"/>
      <c r="AF139" s="10"/>
      <c r="AG139" s="10"/>
      <c r="AH139" s="10"/>
      <c r="AI139" s="10"/>
    </row>
    <row r="140" spans="1:35" ht="12.75">
      <c r="A140" s="8">
        <v>9</v>
      </c>
      <c r="B140" s="40" t="s">
        <v>225</v>
      </c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8">
        <v>2</v>
      </c>
      <c r="Q140" s="42">
        <v>0.19281199999999998</v>
      </c>
      <c r="R140" s="13"/>
      <c r="S140" s="44">
        <v>0.17380199999999998</v>
      </c>
      <c r="T140" s="41">
        <v>0.01901</v>
      </c>
      <c r="U140" s="13"/>
      <c r="V140" s="13"/>
      <c r="W140" s="13"/>
      <c r="X140" s="13"/>
      <c r="Y140" s="13"/>
      <c r="Z140" s="43">
        <v>2011</v>
      </c>
      <c r="AA140" s="43">
        <v>7</v>
      </c>
      <c r="AB140" s="10"/>
      <c r="AC140" s="10"/>
      <c r="AD140" s="10"/>
      <c r="AE140" s="10"/>
      <c r="AF140" s="10"/>
      <c r="AG140" s="10"/>
      <c r="AH140" s="10"/>
      <c r="AI140" s="10"/>
    </row>
    <row r="141" spans="1:35" ht="12.75">
      <c r="A141" s="8">
        <v>10</v>
      </c>
      <c r="B141" s="40" t="s">
        <v>226</v>
      </c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8">
        <v>2</v>
      </c>
      <c r="Q141" s="42">
        <v>0.19281199999999998</v>
      </c>
      <c r="R141" s="13"/>
      <c r="S141" s="44">
        <v>0.17380199999999998</v>
      </c>
      <c r="T141" s="41">
        <v>0.01901</v>
      </c>
      <c r="U141" s="13"/>
      <c r="V141" s="13"/>
      <c r="W141" s="13"/>
      <c r="X141" s="13"/>
      <c r="Y141" s="13"/>
      <c r="Z141" s="43">
        <v>2011</v>
      </c>
      <c r="AA141" s="43">
        <v>7</v>
      </c>
      <c r="AB141" s="10"/>
      <c r="AC141" s="10"/>
      <c r="AD141" s="10"/>
      <c r="AE141" s="10"/>
      <c r="AF141" s="10"/>
      <c r="AG141" s="10"/>
      <c r="AH141" s="10"/>
      <c r="AI141" s="10"/>
    </row>
    <row r="142" spans="1:35" ht="12.75">
      <c r="A142" s="8"/>
      <c r="B142" s="40" t="s">
        <v>227</v>
      </c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3">
        <v>20</v>
      </c>
      <c r="Q142" s="45">
        <v>1.9281199999999998</v>
      </c>
      <c r="R142" s="45"/>
      <c r="S142" s="45">
        <v>1.73802</v>
      </c>
      <c r="T142" s="45">
        <v>0.1901</v>
      </c>
      <c r="U142" s="13"/>
      <c r="V142" s="13"/>
      <c r="W142" s="13"/>
      <c r="X142" s="13"/>
      <c r="Y142" s="13"/>
      <c r="Z142" s="43"/>
      <c r="AA142" s="43"/>
      <c r="AB142" s="10"/>
      <c r="AC142" s="10"/>
      <c r="AD142" s="10"/>
      <c r="AE142" s="10"/>
      <c r="AF142" s="10"/>
      <c r="AG142" s="10"/>
      <c r="AH142" s="10"/>
      <c r="AI142" s="10"/>
    </row>
    <row r="143" spans="1:35" ht="12.75">
      <c r="A143" s="3" t="s">
        <v>228</v>
      </c>
      <c r="B143" s="3" t="s">
        <v>229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13"/>
      <c r="S143" s="13"/>
      <c r="T143" s="13"/>
      <c r="U143" s="13"/>
      <c r="V143" s="3"/>
      <c r="W143" s="3"/>
      <c r="X143" s="3"/>
      <c r="Y143" s="3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</row>
    <row r="144" spans="1:35" ht="12.75">
      <c r="A144" s="39" t="s">
        <v>230</v>
      </c>
      <c r="B144" s="3" t="s">
        <v>231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10"/>
      <c r="Q144" s="10"/>
      <c r="R144" s="10"/>
      <c r="S144" s="10"/>
      <c r="T144" s="10"/>
      <c r="U144" s="13"/>
      <c r="V144" s="3"/>
      <c r="W144" s="3"/>
      <c r="X144" s="3"/>
      <c r="Y144" s="3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</row>
    <row r="145" spans="1:35" ht="12.75">
      <c r="A145" s="8">
        <v>1</v>
      </c>
      <c r="B145" s="40" t="s">
        <v>232</v>
      </c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8">
        <v>1</v>
      </c>
      <c r="Q145" s="41">
        <v>0.5531349999999999</v>
      </c>
      <c r="R145" s="13"/>
      <c r="S145" s="41">
        <v>0.359334</v>
      </c>
      <c r="T145" s="41">
        <v>0.193801</v>
      </c>
      <c r="U145" s="13"/>
      <c r="V145" s="13"/>
      <c r="W145" s="13"/>
      <c r="X145" s="13"/>
      <c r="Y145" s="13"/>
      <c r="Z145" s="43">
        <v>2011</v>
      </c>
      <c r="AA145" s="43">
        <v>7</v>
      </c>
      <c r="AB145" s="10"/>
      <c r="AC145" s="10"/>
      <c r="AD145" s="10"/>
      <c r="AE145" s="10"/>
      <c r="AF145" s="10"/>
      <c r="AG145" s="10"/>
      <c r="AH145" s="10"/>
      <c r="AI145" s="10"/>
    </row>
    <row r="146" spans="1:35" ht="12.75">
      <c r="A146" s="8">
        <v>2</v>
      </c>
      <c r="B146" s="40" t="s">
        <v>233</v>
      </c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8">
        <v>1</v>
      </c>
      <c r="Q146" s="41">
        <v>0.5531349999999999</v>
      </c>
      <c r="R146" s="13"/>
      <c r="S146" s="41">
        <v>0.359334</v>
      </c>
      <c r="T146" s="41">
        <v>0.193801</v>
      </c>
      <c r="U146" s="13"/>
      <c r="V146" s="13"/>
      <c r="W146" s="13"/>
      <c r="X146" s="13"/>
      <c r="Y146" s="13"/>
      <c r="Z146" s="43">
        <v>2011</v>
      </c>
      <c r="AA146" s="43">
        <v>7</v>
      </c>
      <c r="AB146" s="10"/>
      <c r="AC146" s="10"/>
      <c r="AD146" s="10"/>
      <c r="AE146" s="10"/>
      <c r="AF146" s="10"/>
      <c r="AG146" s="10"/>
      <c r="AH146" s="10"/>
      <c r="AI146" s="10"/>
    </row>
    <row r="147" spans="1:35" ht="12.75">
      <c r="A147" s="8">
        <v>3</v>
      </c>
      <c r="B147" s="40" t="s">
        <v>234</v>
      </c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8">
        <v>1</v>
      </c>
      <c r="Q147" s="41">
        <v>0.5531349999999999</v>
      </c>
      <c r="R147" s="13"/>
      <c r="S147" s="41">
        <v>0.359334</v>
      </c>
      <c r="T147" s="41">
        <v>0.193801</v>
      </c>
      <c r="U147" s="13"/>
      <c r="V147" s="13"/>
      <c r="W147" s="13"/>
      <c r="X147" s="13"/>
      <c r="Y147" s="13"/>
      <c r="Z147" s="43">
        <v>2011</v>
      </c>
      <c r="AA147" s="43">
        <v>7</v>
      </c>
      <c r="AB147" s="10"/>
      <c r="AC147" s="10"/>
      <c r="AD147" s="10"/>
      <c r="AE147" s="10"/>
      <c r="AF147" s="10"/>
      <c r="AG147" s="10"/>
      <c r="AH147" s="10"/>
      <c r="AI147" s="10"/>
    </row>
    <row r="148" spans="1:35" ht="12.75">
      <c r="A148" s="8">
        <v>4</v>
      </c>
      <c r="B148" s="40" t="s">
        <v>235</v>
      </c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8">
        <v>1</v>
      </c>
      <c r="Q148" s="41">
        <v>0.5531349999999999</v>
      </c>
      <c r="R148" s="13"/>
      <c r="S148" s="41">
        <v>0.359334</v>
      </c>
      <c r="T148" s="41">
        <v>0.193801</v>
      </c>
      <c r="U148" s="13"/>
      <c r="V148" s="13"/>
      <c r="W148" s="13"/>
      <c r="X148" s="13"/>
      <c r="Y148" s="13"/>
      <c r="Z148" s="43">
        <v>2011</v>
      </c>
      <c r="AA148" s="43">
        <v>7</v>
      </c>
      <c r="AB148" s="10"/>
      <c r="AC148" s="10"/>
      <c r="AD148" s="10"/>
      <c r="AE148" s="10"/>
      <c r="AF148" s="10"/>
      <c r="AG148" s="10"/>
      <c r="AH148" s="10"/>
      <c r="AI148" s="10"/>
    </row>
    <row r="149" spans="1:35" ht="12.75">
      <c r="A149" s="8">
        <v>5</v>
      </c>
      <c r="B149" s="40" t="s">
        <v>236</v>
      </c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8">
        <v>1</v>
      </c>
      <c r="Q149" s="41">
        <v>0.5531349999999999</v>
      </c>
      <c r="R149" s="13"/>
      <c r="S149" s="41">
        <v>0.359334</v>
      </c>
      <c r="T149" s="41">
        <v>0.193801</v>
      </c>
      <c r="U149" s="13"/>
      <c r="V149" s="13"/>
      <c r="W149" s="13"/>
      <c r="X149" s="13"/>
      <c r="Y149" s="13"/>
      <c r="Z149" s="43">
        <v>2011</v>
      </c>
      <c r="AA149" s="43">
        <v>7</v>
      </c>
      <c r="AB149" s="10"/>
      <c r="AC149" s="10"/>
      <c r="AD149" s="10"/>
      <c r="AE149" s="10"/>
      <c r="AF149" s="10"/>
      <c r="AG149" s="10"/>
      <c r="AH149" s="10"/>
      <c r="AI149" s="10"/>
    </row>
    <row r="150" spans="1:35" ht="12.75">
      <c r="A150" s="8"/>
      <c r="B150" s="40" t="s">
        <v>237</v>
      </c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46">
        <v>5</v>
      </c>
      <c r="Q150" s="47">
        <v>2.765675</v>
      </c>
      <c r="R150" s="13"/>
      <c r="S150" s="47">
        <v>1.79667</v>
      </c>
      <c r="T150" s="47">
        <v>0.969005</v>
      </c>
      <c r="U150" s="13"/>
      <c r="V150" s="13"/>
      <c r="W150" s="13"/>
      <c r="X150" s="13"/>
      <c r="Y150" s="13"/>
      <c r="Z150" s="43"/>
      <c r="AA150" s="43"/>
      <c r="AB150" s="10"/>
      <c r="AC150" s="10"/>
      <c r="AD150" s="10"/>
      <c r="AE150" s="10"/>
      <c r="AF150" s="10"/>
      <c r="AG150" s="10"/>
      <c r="AH150" s="10"/>
      <c r="AI150" s="10"/>
    </row>
    <row r="151" spans="1:35" ht="12.75">
      <c r="A151" s="39" t="s">
        <v>238</v>
      </c>
      <c r="B151" s="17" t="s">
        <v>231</v>
      </c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3">
        <v>61</v>
      </c>
      <c r="Q151" s="45">
        <v>10.952793999999999</v>
      </c>
      <c r="R151" s="13"/>
      <c r="S151" s="45">
        <v>3.9831169999999996</v>
      </c>
      <c r="T151" s="45">
        <v>6.969677</v>
      </c>
      <c r="U151" s="13"/>
      <c r="V151" s="13"/>
      <c r="W151" s="13"/>
      <c r="X151" s="13"/>
      <c r="Y151" s="13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</row>
    <row r="152" spans="1:35" ht="12.75">
      <c r="A152" s="8">
        <v>1</v>
      </c>
      <c r="B152" s="40" t="s">
        <v>239</v>
      </c>
      <c r="C152" s="13"/>
      <c r="D152" s="13"/>
      <c r="E152" s="13"/>
      <c r="F152" s="13"/>
      <c r="G152" s="13"/>
      <c r="H152" s="13"/>
      <c r="I152" s="8">
        <v>2</v>
      </c>
      <c r="J152" s="13"/>
      <c r="K152" s="13"/>
      <c r="L152" s="13"/>
      <c r="M152" s="13"/>
      <c r="N152" s="13"/>
      <c r="O152" s="13"/>
      <c r="P152" s="8" t="s">
        <v>240</v>
      </c>
      <c r="Q152" s="41">
        <v>0.179554</v>
      </c>
      <c r="R152" s="13"/>
      <c r="S152" s="41">
        <v>0.065297</v>
      </c>
      <c r="T152" s="41">
        <v>0.114257</v>
      </c>
      <c r="U152" s="13"/>
      <c r="V152" s="13"/>
      <c r="W152" s="13"/>
      <c r="X152" s="13"/>
      <c r="Y152" s="13"/>
      <c r="Z152" s="43">
        <v>2011</v>
      </c>
      <c r="AA152" s="43">
        <v>7</v>
      </c>
      <c r="AB152" s="10"/>
      <c r="AC152" s="10"/>
      <c r="AD152" s="10"/>
      <c r="AE152" s="10"/>
      <c r="AF152" s="10"/>
      <c r="AG152" s="10"/>
      <c r="AH152" s="10"/>
      <c r="AI152" s="10"/>
    </row>
    <row r="153" spans="1:35" ht="12.75">
      <c r="A153" s="8">
        <v>2</v>
      </c>
      <c r="B153" s="40" t="s">
        <v>241</v>
      </c>
      <c r="C153" s="13"/>
      <c r="D153" s="13"/>
      <c r="E153" s="13"/>
      <c r="F153" s="13"/>
      <c r="G153" s="13"/>
      <c r="H153" s="13"/>
      <c r="I153" s="8">
        <v>2</v>
      </c>
      <c r="J153" s="13"/>
      <c r="K153" s="13"/>
      <c r="L153" s="13"/>
      <c r="M153" s="13"/>
      <c r="N153" s="13"/>
      <c r="O153" s="13"/>
      <c r="P153" s="8" t="s">
        <v>240</v>
      </c>
      <c r="Q153" s="41">
        <v>0.179554</v>
      </c>
      <c r="R153" s="13"/>
      <c r="S153" s="41">
        <v>0.065297</v>
      </c>
      <c r="T153" s="41">
        <v>0.114257</v>
      </c>
      <c r="U153" s="13"/>
      <c r="V153" s="13"/>
      <c r="W153" s="13"/>
      <c r="X153" s="13"/>
      <c r="Y153" s="13"/>
      <c r="Z153" s="43">
        <v>2011</v>
      </c>
      <c r="AA153" s="43">
        <v>7</v>
      </c>
      <c r="AB153" s="10"/>
      <c r="AC153" s="10"/>
      <c r="AD153" s="10"/>
      <c r="AE153" s="10"/>
      <c r="AF153" s="10"/>
      <c r="AG153" s="10"/>
      <c r="AH153" s="10"/>
      <c r="AI153" s="10"/>
    </row>
    <row r="154" spans="1:35" ht="12.75">
      <c r="A154" s="8">
        <v>3</v>
      </c>
      <c r="B154" s="40" t="s">
        <v>242</v>
      </c>
      <c r="C154" s="13"/>
      <c r="D154" s="13"/>
      <c r="E154" s="13"/>
      <c r="F154" s="13"/>
      <c r="G154" s="13"/>
      <c r="H154" s="13"/>
      <c r="I154" s="8">
        <v>2</v>
      </c>
      <c r="J154" s="13"/>
      <c r="K154" s="13"/>
      <c r="L154" s="13"/>
      <c r="M154" s="13"/>
      <c r="N154" s="13"/>
      <c r="O154" s="13"/>
      <c r="P154" s="8">
        <v>6</v>
      </c>
      <c r="Q154" s="41">
        <v>0.179554</v>
      </c>
      <c r="R154" s="13"/>
      <c r="S154" s="41">
        <v>0.065297</v>
      </c>
      <c r="T154" s="41">
        <v>0.114257</v>
      </c>
      <c r="U154" s="13"/>
      <c r="V154" s="13"/>
      <c r="W154" s="13"/>
      <c r="X154" s="13"/>
      <c r="Y154" s="13"/>
      <c r="Z154" s="43">
        <v>2011</v>
      </c>
      <c r="AA154" s="43">
        <v>7</v>
      </c>
      <c r="AB154" s="10"/>
      <c r="AC154" s="10"/>
      <c r="AD154" s="10"/>
      <c r="AE154" s="10"/>
      <c r="AF154" s="10"/>
      <c r="AG154" s="10"/>
      <c r="AH154" s="10"/>
      <c r="AI154" s="10"/>
    </row>
    <row r="155" spans="1:35" ht="12.75">
      <c r="A155" s="8">
        <v>4</v>
      </c>
      <c r="B155" s="40" t="s">
        <v>243</v>
      </c>
      <c r="C155" s="13"/>
      <c r="D155" s="13"/>
      <c r="E155" s="13"/>
      <c r="F155" s="13"/>
      <c r="G155" s="13"/>
      <c r="H155" s="13"/>
      <c r="I155" s="8">
        <v>1</v>
      </c>
      <c r="J155" s="13"/>
      <c r="K155" s="13"/>
      <c r="L155" s="13"/>
      <c r="M155" s="13"/>
      <c r="N155" s="13"/>
      <c r="O155" s="13"/>
      <c r="P155" s="8" t="s">
        <v>240</v>
      </c>
      <c r="Q155" s="41">
        <v>0.179554</v>
      </c>
      <c r="R155" s="13"/>
      <c r="S155" s="41">
        <v>0.065297</v>
      </c>
      <c r="T155" s="41">
        <v>0.114257</v>
      </c>
      <c r="U155" s="13"/>
      <c r="V155" s="13"/>
      <c r="W155" s="13"/>
      <c r="X155" s="13"/>
      <c r="Y155" s="13"/>
      <c r="Z155" s="43">
        <v>2011</v>
      </c>
      <c r="AA155" s="43">
        <v>7</v>
      </c>
      <c r="AB155" s="10"/>
      <c r="AC155" s="10"/>
      <c r="AD155" s="10"/>
      <c r="AE155" s="10"/>
      <c r="AF155" s="10"/>
      <c r="AG155" s="10"/>
      <c r="AH155" s="10"/>
      <c r="AI155" s="10"/>
    </row>
    <row r="156" spans="1:35" ht="12.75">
      <c r="A156" s="8">
        <v>5</v>
      </c>
      <c r="B156" s="40" t="s">
        <v>244</v>
      </c>
      <c r="C156" s="13"/>
      <c r="D156" s="13"/>
      <c r="E156" s="13"/>
      <c r="F156" s="13"/>
      <c r="G156" s="13"/>
      <c r="H156" s="13"/>
      <c r="I156" s="8">
        <v>2</v>
      </c>
      <c r="J156" s="13"/>
      <c r="K156" s="13"/>
      <c r="L156" s="13"/>
      <c r="M156" s="13"/>
      <c r="N156" s="13"/>
      <c r="O156" s="13"/>
      <c r="P156" s="8" t="s">
        <v>240</v>
      </c>
      <c r="Q156" s="41">
        <v>0.179554</v>
      </c>
      <c r="R156" s="13"/>
      <c r="S156" s="41">
        <v>0.065297</v>
      </c>
      <c r="T156" s="41">
        <v>0.114257</v>
      </c>
      <c r="U156" s="13"/>
      <c r="V156" s="13"/>
      <c r="W156" s="13"/>
      <c r="X156" s="13"/>
      <c r="Y156" s="13"/>
      <c r="Z156" s="43">
        <v>2011</v>
      </c>
      <c r="AA156" s="43">
        <v>7</v>
      </c>
      <c r="AB156" s="10"/>
      <c r="AC156" s="10"/>
      <c r="AD156" s="10"/>
      <c r="AE156" s="10"/>
      <c r="AF156" s="10"/>
      <c r="AG156" s="10"/>
      <c r="AH156" s="10"/>
      <c r="AI156" s="10"/>
    </row>
    <row r="157" spans="1:35" ht="12.75">
      <c r="A157" s="8">
        <v>6</v>
      </c>
      <c r="B157" s="40" t="s">
        <v>245</v>
      </c>
      <c r="C157" s="13"/>
      <c r="D157" s="13"/>
      <c r="E157" s="13"/>
      <c r="F157" s="13"/>
      <c r="G157" s="13"/>
      <c r="H157" s="13"/>
      <c r="I157" s="8">
        <v>1</v>
      </c>
      <c r="J157" s="13"/>
      <c r="K157" s="13"/>
      <c r="L157" s="13"/>
      <c r="M157" s="13"/>
      <c r="N157" s="13"/>
      <c r="O157" s="13"/>
      <c r="P157" s="8" t="s">
        <v>240</v>
      </c>
      <c r="Q157" s="41">
        <v>0.179554</v>
      </c>
      <c r="R157" s="13"/>
      <c r="S157" s="41">
        <v>0.065297</v>
      </c>
      <c r="T157" s="41">
        <v>0.114257</v>
      </c>
      <c r="U157" s="13"/>
      <c r="V157" s="13"/>
      <c r="W157" s="13"/>
      <c r="X157" s="13"/>
      <c r="Y157" s="13"/>
      <c r="Z157" s="43">
        <v>2011</v>
      </c>
      <c r="AA157" s="43">
        <v>7</v>
      </c>
      <c r="AB157" s="10"/>
      <c r="AC157" s="10"/>
      <c r="AD157" s="10"/>
      <c r="AE157" s="10"/>
      <c r="AF157" s="10"/>
      <c r="AG157" s="10"/>
      <c r="AH157" s="10"/>
      <c r="AI157" s="10"/>
    </row>
    <row r="158" spans="1:35" ht="12.75">
      <c r="A158" s="8">
        <v>7</v>
      </c>
      <c r="B158" s="40" t="s">
        <v>246</v>
      </c>
      <c r="C158" s="13"/>
      <c r="D158" s="13"/>
      <c r="E158" s="13"/>
      <c r="F158" s="13"/>
      <c r="G158" s="13"/>
      <c r="H158" s="13"/>
      <c r="I158" s="8">
        <v>2</v>
      </c>
      <c r="J158" s="13"/>
      <c r="K158" s="13"/>
      <c r="L158" s="13"/>
      <c r="M158" s="13"/>
      <c r="N158" s="13"/>
      <c r="O158" s="13"/>
      <c r="P158" s="8">
        <v>4</v>
      </c>
      <c r="Q158" s="41">
        <v>0.179554</v>
      </c>
      <c r="R158" s="13"/>
      <c r="S158" s="41">
        <v>0.065297</v>
      </c>
      <c r="T158" s="41">
        <v>0.114257</v>
      </c>
      <c r="U158" s="13"/>
      <c r="V158" s="13"/>
      <c r="W158" s="13"/>
      <c r="X158" s="13"/>
      <c r="Y158" s="13"/>
      <c r="Z158" s="43">
        <v>2011</v>
      </c>
      <c r="AA158" s="43">
        <v>7</v>
      </c>
      <c r="AB158" s="10"/>
      <c r="AC158" s="10"/>
      <c r="AD158" s="10"/>
      <c r="AE158" s="10"/>
      <c r="AF158" s="10"/>
      <c r="AG158" s="10"/>
      <c r="AH158" s="10"/>
      <c r="AI158" s="10"/>
    </row>
    <row r="159" spans="1:35" ht="12.75">
      <c r="A159" s="8">
        <v>8</v>
      </c>
      <c r="B159" s="40" t="s">
        <v>247</v>
      </c>
      <c r="C159" s="13"/>
      <c r="D159" s="13"/>
      <c r="E159" s="13"/>
      <c r="F159" s="13"/>
      <c r="G159" s="13"/>
      <c r="H159" s="13"/>
      <c r="I159" s="8">
        <v>2</v>
      </c>
      <c r="J159" s="13"/>
      <c r="K159" s="13"/>
      <c r="L159" s="13"/>
      <c r="M159" s="13"/>
      <c r="N159" s="13"/>
      <c r="O159" s="13"/>
      <c r="P159" s="8">
        <v>7</v>
      </c>
      <c r="Q159" s="41">
        <v>0.179554</v>
      </c>
      <c r="R159" s="13"/>
      <c r="S159" s="41">
        <v>0.065297</v>
      </c>
      <c r="T159" s="41">
        <v>0.114257</v>
      </c>
      <c r="U159" s="13"/>
      <c r="V159" s="13"/>
      <c r="W159" s="13"/>
      <c r="X159" s="13"/>
      <c r="Y159" s="13"/>
      <c r="Z159" s="43">
        <v>2011</v>
      </c>
      <c r="AA159" s="43">
        <v>7</v>
      </c>
      <c r="AB159" s="10"/>
      <c r="AC159" s="10"/>
      <c r="AD159" s="10"/>
      <c r="AE159" s="10"/>
      <c r="AF159" s="10"/>
      <c r="AG159" s="10"/>
      <c r="AH159" s="10"/>
      <c r="AI159" s="10"/>
    </row>
    <row r="160" spans="1:35" ht="12.75">
      <c r="A160" s="8">
        <v>9</v>
      </c>
      <c r="B160" s="40" t="s">
        <v>248</v>
      </c>
      <c r="C160" s="13"/>
      <c r="D160" s="13"/>
      <c r="E160" s="13"/>
      <c r="F160" s="13"/>
      <c r="G160" s="13"/>
      <c r="H160" s="13"/>
      <c r="I160" s="8">
        <v>1</v>
      </c>
      <c r="J160" s="13"/>
      <c r="K160" s="13"/>
      <c r="L160" s="13"/>
      <c r="M160" s="13"/>
      <c r="N160" s="13"/>
      <c r="O160" s="13"/>
      <c r="P160" s="8">
        <v>6</v>
      </c>
      <c r="Q160" s="41">
        <v>0.179554</v>
      </c>
      <c r="R160" s="13"/>
      <c r="S160" s="41">
        <v>0.065297</v>
      </c>
      <c r="T160" s="41">
        <v>0.114257</v>
      </c>
      <c r="U160" s="13"/>
      <c r="V160" s="13"/>
      <c r="W160" s="13"/>
      <c r="X160" s="13"/>
      <c r="Y160" s="13"/>
      <c r="Z160" s="43">
        <v>2011</v>
      </c>
      <c r="AA160" s="43">
        <v>7</v>
      </c>
      <c r="AB160" s="10"/>
      <c r="AC160" s="10"/>
      <c r="AD160" s="10"/>
      <c r="AE160" s="10"/>
      <c r="AF160" s="10"/>
      <c r="AG160" s="10"/>
      <c r="AH160" s="10"/>
      <c r="AI160" s="10"/>
    </row>
    <row r="161" spans="1:35" ht="12.75">
      <c r="A161" s="8">
        <v>10</v>
      </c>
      <c r="B161" s="40" t="s">
        <v>249</v>
      </c>
      <c r="C161" s="13"/>
      <c r="D161" s="13"/>
      <c r="E161" s="13"/>
      <c r="F161" s="13"/>
      <c r="G161" s="13"/>
      <c r="H161" s="13"/>
      <c r="I161" s="8">
        <v>2</v>
      </c>
      <c r="J161" s="13"/>
      <c r="K161" s="13"/>
      <c r="L161" s="13"/>
      <c r="M161" s="13"/>
      <c r="N161" s="13"/>
      <c r="O161" s="13"/>
      <c r="P161" s="8">
        <v>4</v>
      </c>
      <c r="Q161" s="41">
        <v>0.179554</v>
      </c>
      <c r="R161" s="13"/>
      <c r="S161" s="41">
        <v>0.065297</v>
      </c>
      <c r="T161" s="41">
        <v>0.114257</v>
      </c>
      <c r="U161" s="13"/>
      <c r="V161" s="13"/>
      <c r="W161" s="13"/>
      <c r="X161" s="13"/>
      <c r="Y161" s="13"/>
      <c r="Z161" s="43">
        <v>2011</v>
      </c>
      <c r="AA161" s="43">
        <v>7</v>
      </c>
      <c r="AB161" s="10"/>
      <c r="AC161" s="10"/>
      <c r="AD161" s="10"/>
      <c r="AE161" s="10"/>
      <c r="AF161" s="10"/>
      <c r="AG161" s="10"/>
      <c r="AH161" s="10"/>
      <c r="AI161" s="10"/>
    </row>
    <row r="162" spans="1:35" ht="12.75">
      <c r="A162" s="8">
        <v>11</v>
      </c>
      <c r="B162" s="40" t="s">
        <v>250</v>
      </c>
      <c r="C162" s="13"/>
      <c r="D162" s="13"/>
      <c r="E162" s="13"/>
      <c r="F162" s="13"/>
      <c r="G162" s="13"/>
      <c r="H162" s="13"/>
      <c r="I162" s="8">
        <v>1</v>
      </c>
      <c r="J162" s="13"/>
      <c r="K162" s="13"/>
      <c r="L162" s="13"/>
      <c r="M162" s="13"/>
      <c r="N162" s="13"/>
      <c r="O162" s="13"/>
      <c r="P162" s="8"/>
      <c r="Q162" s="41">
        <v>0.179554</v>
      </c>
      <c r="R162" s="13"/>
      <c r="S162" s="41">
        <v>0.065297</v>
      </c>
      <c r="T162" s="41">
        <v>0.114257</v>
      </c>
      <c r="U162" s="13"/>
      <c r="V162" s="13"/>
      <c r="W162" s="13"/>
      <c r="X162" s="13"/>
      <c r="Y162" s="13"/>
      <c r="Z162" s="43">
        <v>2011</v>
      </c>
      <c r="AA162" s="43">
        <v>7</v>
      </c>
      <c r="AB162" s="10"/>
      <c r="AC162" s="10"/>
      <c r="AD162" s="10"/>
      <c r="AE162" s="10"/>
      <c r="AF162" s="10"/>
      <c r="AG162" s="10"/>
      <c r="AH162" s="10"/>
      <c r="AI162" s="10"/>
    </row>
    <row r="163" spans="1:35" ht="12.75">
      <c r="A163" s="8">
        <v>12</v>
      </c>
      <c r="B163" s="40" t="s">
        <v>251</v>
      </c>
      <c r="C163" s="13"/>
      <c r="D163" s="13"/>
      <c r="E163" s="13"/>
      <c r="F163" s="13"/>
      <c r="G163" s="13"/>
      <c r="H163" s="13"/>
      <c r="I163" s="8">
        <v>1</v>
      </c>
      <c r="J163" s="13"/>
      <c r="K163" s="13"/>
      <c r="L163" s="13"/>
      <c r="M163" s="13"/>
      <c r="N163" s="13"/>
      <c r="O163" s="13"/>
      <c r="P163" s="8" t="s">
        <v>240</v>
      </c>
      <c r="Q163" s="41">
        <v>0.179554</v>
      </c>
      <c r="R163" s="13"/>
      <c r="S163" s="41">
        <v>0.065297</v>
      </c>
      <c r="T163" s="41">
        <v>0.114257</v>
      </c>
      <c r="U163" s="13"/>
      <c r="V163" s="13"/>
      <c r="W163" s="13"/>
      <c r="X163" s="13"/>
      <c r="Y163" s="13"/>
      <c r="Z163" s="43">
        <v>2011</v>
      </c>
      <c r="AA163" s="43">
        <v>7</v>
      </c>
      <c r="AB163" s="10"/>
      <c r="AC163" s="10"/>
      <c r="AD163" s="10"/>
      <c r="AE163" s="10"/>
      <c r="AF163" s="10"/>
      <c r="AG163" s="10"/>
      <c r="AH163" s="10"/>
      <c r="AI163" s="10"/>
    </row>
    <row r="164" spans="1:35" ht="12.75">
      <c r="A164" s="8">
        <v>13</v>
      </c>
      <c r="B164" s="40" t="s">
        <v>252</v>
      </c>
      <c r="C164" s="13"/>
      <c r="D164" s="13"/>
      <c r="E164" s="13"/>
      <c r="F164" s="13"/>
      <c r="G164" s="13"/>
      <c r="H164" s="13"/>
      <c r="I164" s="8">
        <v>2</v>
      </c>
      <c r="J164" s="13"/>
      <c r="K164" s="13"/>
      <c r="L164" s="13"/>
      <c r="M164" s="13"/>
      <c r="N164" s="13"/>
      <c r="O164" s="13"/>
      <c r="P164" s="8" t="s">
        <v>240</v>
      </c>
      <c r="Q164" s="41">
        <v>0.179554</v>
      </c>
      <c r="R164" s="13"/>
      <c r="S164" s="41">
        <v>0.065297</v>
      </c>
      <c r="T164" s="41">
        <v>0.114257</v>
      </c>
      <c r="U164" s="13"/>
      <c r="V164" s="13"/>
      <c r="W164" s="13"/>
      <c r="X164" s="13"/>
      <c r="Y164" s="13"/>
      <c r="Z164" s="43">
        <v>2011</v>
      </c>
      <c r="AA164" s="43">
        <v>7</v>
      </c>
      <c r="AB164" s="10"/>
      <c r="AC164" s="10"/>
      <c r="AD164" s="10"/>
      <c r="AE164" s="10"/>
      <c r="AF164" s="10"/>
      <c r="AG164" s="10"/>
      <c r="AH164" s="10"/>
      <c r="AI164" s="10"/>
    </row>
    <row r="165" spans="1:35" ht="12.75">
      <c r="A165" s="8">
        <v>14</v>
      </c>
      <c r="B165" s="40" t="s">
        <v>253</v>
      </c>
      <c r="C165" s="13"/>
      <c r="D165" s="13"/>
      <c r="E165" s="13"/>
      <c r="F165" s="13"/>
      <c r="G165" s="13"/>
      <c r="H165" s="13"/>
      <c r="I165" s="8">
        <v>1</v>
      </c>
      <c r="J165" s="13"/>
      <c r="K165" s="13"/>
      <c r="L165" s="13"/>
      <c r="M165" s="13"/>
      <c r="N165" s="13"/>
      <c r="O165" s="13"/>
      <c r="P165" s="8" t="s">
        <v>240</v>
      </c>
      <c r="Q165" s="41">
        <v>0.179554</v>
      </c>
      <c r="R165" s="13"/>
      <c r="S165" s="41">
        <v>0.065297</v>
      </c>
      <c r="T165" s="41">
        <v>0.114257</v>
      </c>
      <c r="U165" s="13"/>
      <c r="V165" s="13"/>
      <c r="W165" s="13"/>
      <c r="X165" s="13"/>
      <c r="Y165" s="13"/>
      <c r="Z165" s="43">
        <v>2011</v>
      </c>
      <c r="AA165" s="43">
        <v>7</v>
      </c>
      <c r="AB165" s="10"/>
      <c r="AC165" s="10"/>
      <c r="AD165" s="10"/>
      <c r="AE165" s="10"/>
      <c r="AF165" s="10"/>
      <c r="AG165" s="10"/>
      <c r="AH165" s="10"/>
      <c r="AI165" s="10"/>
    </row>
    <row r="166" spans="1:35" ht="12.75">
      <c r="A166" s="8">
        <v>15</v>
      </c>
      <c r="B166" s="40" t="s">
        <v>254</v>
      </c>
      <c r="C166" s="13"/>
      <c r="D166" s="13"/>
      <c r="E166" s="13"/>
      <c r="F166" s="13"/>
      <c r="G166" s="13"/>
      <c r="H166" s="13"/>
      <c r="I166" s="8">
        <v>1</v>
      </c>
      <c r="J166" s="13"/>
      <c r="K166" s="13"/>
      <c r="L166" s="13"/>
      <c r="M166" s="13"/>
      <c r="N166" s="13"/>
      <c r="O166" s="13"/>
      <c r="P166" s="8" t="s">
        <v>240</v>
      </c>
      <c r="Q166" s="41">
        <v>0.179554</v>
      </c>
      <c r="R166" s="13"/>
      <c r="S166" s="41">
        <v>0.065297</v>
      </c>
      <c r="T166" s="41">
        <v>0.114257</v>
      </c>
      <c r="U166" s="13"/>
      <c r="V166" s="13"/>
      <c r="W166" s="13"/>
      <c r="X166" s="13"/>
      <c r="Y166" s="13"/>
      <c r="Z166" s="43">
        <v>2011</v>
      </c>
      <c r="AA166" s="43">
        <v>7</v>
      </c>
      <c r="AB166" s="10"/>
      <c r="AC166" s="10"/>
      <c r="AD166" s="10"/>
      <c r="AE166" s="10"/>
      <c r="AF166" s="10"/>
      <c r="AG166" s="10"/>
      <c r="AH166" s="10"/>
      <c r="AI166" s="10"/>
    </row>
    <row r="167" spans="1:35" ht="12.75">
      <c r="A167" s="8">
        <v>16</v>
      </c>
      <c r="B167" s="40" t="s">
        <v>255</v>
      </c>
      <c r="C167" s="13"/>
      <c r="D167" s="13"/>
      <c r="E167" s="13"/>
      <c r="F167" s="13"/>
      <c r="G167" s="13"/>
      <c r="H167" s="13"/>
      <c r="I167" s="8">
        <v>2</v>
      </c>
      <c r="J167" s="13"/>
      <c r="K167" s="13"/>
      <c r="L167" s="13"/>
      <c r="M167" s="13"/>
      <c r="N167" s="13"/>
      <c r="O167" s="13"/>
      <c r="P167" s="8">
        <v>2</v>
      </c>
      <c r="Q167" s="41">
        <v>0.179554</v>
      </c>
      <c r="R167" s="13"/>
      <c r="S167" s="41">
        <v>0.065297</v>
      </c>
      <c r="T167" s="41">
        <v>0.114257</v>
      </c>
      <c r="U167" s="13"/>
      <c r="V167" s="13"/>
      <c r="W167" s="13"/>
      <c r="X167" s="13"/>
      <c r="Y167" s="13"/>
      <c r="Z167" s="43">
        <v>2011</v>
      </c>
      <c r="AA167" s="43">
        <v>7</v>
      </c>
      <c r="AB167" s="10"/>
      <c r="AC167" s="10"/>
      <c r="AD167" s="10"/>
      <c r="AE167" s="10"/>
      <c r="AF167" s="10"/>
      <c r="AG167" s="10"/>
      <c r="AH167" s="10"/>
      <c r="AI167" s="10"/>
    </row>
    <row r="168" spans="1:35" ht="12.75">
      <c r="A168" s="8">
        <v>17</v>
      </c>
      <c r="B168" s="40" t="s">
        <v>256</v>
      </c>
      <c r="C168" s="13"/>
      <c r="D168" s="13"/>
      <c r="E168" s="13"/>
      <c r="F168" s="13"/>
      <c r="G168" s="13"/>
      <c r="H168" s="13"/>
      <c r="I168" s="8">
        <v>2</v>
      </c>
      <c r="J168" s="13"/>
      <c r="K168" s="13"/>
      <c r="L168" s="13"/>
      <c r="M168" s="13"/>
      <c r="N168" s="13"/>
      <c r="O168" s="13"/>
      <c r="P168" s="8">
        <v>5</v>
      </c>
      <c r="Q168" s="41">
        <v>0.179554</v>
      </c>
      <c r="R168" s="13"/>
      <c r="S168" s="41">
        <v>0.065297</v>
      </c>
      <c r="T168" s="41">
        <v>0.114257</v>
      </c>
      <c r="U168" s="13"/>
      <c r="V168" s="13"/>
      <c r="W168" s="13"/>
      <c r="X168" s="13"/>
      <c r="Y168" s="13"/>
      <c r="Z168" s="43">
        <v>2011</v>
      </c>
      <c r="AA168" s="43">
        <v>7</v>
      </c>
      <c r="AB168" s="10"/>
      <c r="AC168" s="10"/>
      <c r="AD168" s="10"/>
      <c r="AE168" s="10"/>
      <c r="AF168" s="10"/>
      <c r="AG168" s="10"/>
      <c r="AH168" s="10"/>
      <c r="AI168" s="10"/>
    </row>
    <row r="169" spans="1:35" ht="12.75">
      <c r="A169" s="8">
        <v>18</v>
      </c>
      <c r="B169" s="40" t="s">
        <v>257</v>
      </c>
      <c r="C169" s="13"/>
      <c r="D169" s="13"/>
      <c r="E169" s="13"/>
      <c r="F169" s="13"/>
      <c r="G169" s="13"/>
      <c r="H169" s="13"/>
      <c r="I169" s="8">
        <v>2</v>
      </c>
      <c r="J169" s="13"/>
      <c r="K169" s="13"/>
      <c r="L169" s="13"/>
      <c r="M169" s="13"/>
      <c r="N169" s="13"/>
      <c r="O169" s="13"/>
      <c r="P169" s="8">
        <v>3</v>
      </c>
      <c r="Q169" s="41">
        <v>0.179554</v>
      </c>
      <c r="R169" s="13"/>
      <c r="S169" s="41">
        <v>0.065297</v>
      </c>
      <c r="T169" s="41">
        <v>0.114257</v>
      </c>
      <c r="U169" s="13"/>
      <c r="V169" s="13"/>
      <c r="W169" s="13"/>
      <c r="X169" s="13"/>
      <c r="Y169" s="13"/>
      <c r="Z169" s="43">
        <v>2011</v>
      </c>
      <c r="AA169" s="43">
        <v>7</v>
      </c>
      <c r="AB169" s="10"/>
      <c r="AC169" s="10"/>
      <c r="AD169" s="10"/>
      <c r="AE169" s="10"/>
      <c r="AF169" s="10"/>
      <c r="AG169" s="10"/>
      <c r="AH169" s="10"/>
      <c r="AI169" s="10"/>
    </row>
    <row r="170" spans="1:35" ht="12.75">
      <c r="A170" s="8">
        <v>19</v>
      </c>
      <c r="B170" s="40" t="s">
        <v>258</v>
      </c>
      <c r="C170" s="13"/>
      <c r="D170" s="13"/>
      <c r="E170" s="13"/>
      <c r="F170" s="13"/>
      <c r="G170" s="13"/>
      <c r="H170" s="13"/>
      <c r="I170" s="8">
        <v>1</v>
      </c>
      <c r="J170" s="13"/>
      <c r="K170" s="13"/>
      <c r="L170" s="13"/>
      <c r="M170" s="13"/>
      <c r="N170" s="13"/>
      <c r="O170" s="13"/>
      <c r="P170" s="8">
        <v>3</v>
      </c>
      <c r="Q170" s="41">
        <v>0.179554</v>
      </c>
      <c r="R170" s="13"/>
      <c r="S170" s="41">
        <v>0.065297</v>
      </c>
      <c r="T170" s="41">
        <v>0.114257</v>
      </c>
      <c r="U170" s="13"/>
      <c r="V170" s="13"/>
      <c r="W170" s="13"/>
      <c r="X170" s="13"/>
      <c r="Y170" s="13"/>
      <c r="Z170" s="43">
        <v>2011</v>
      </c>
      <c r="AA170" s="43">
        <v>7</v>
      </c>
      <c r="AB170" s="10"/>
      <c r="AC170" s="10"/>
      <c r="AD170" s="10"/>
      <c r="AE170" s="10"/>
      <c r="AF170" s="10"/>
      <c r="AG170" s="10"/>
      <c r="AH170" s="10"/>
      <c r="AI170" s="10"/>
    </row>
    <row r="171" spans="1:35" ht="12.75">
      <c r="A171" s="8">
        <v>20</v>
      </c>
      <c r="B171" s="40" t="s">
        <v>259</v>
      </c>
      <c r="C171" s="13"/>
      <c r="D171" s="13"/>
      <c r="E171" s="13"/>
      <c r="F171" s="13"/>
      <c r="G171" s="13"/>
      <c r="H171" s="13"/>
      <c r="I171" s="8">
        <v>1</v>
      </c>
      <c r="J171" s="13"/>
      <c r="K171" s="13"/>
      <c r="L171" s="13"/>
      <c r="M171" s="13"/>
      <c r="N171" s="13"/>
      <c r="O171" s="13"/>
      <c r="P171" s="8">
        <v>3</v>
      </c>
      <c r="Q171" s="41">
        <v>0.179554</v>
      </c>
      <c r="R171" s="13"/>
      <c r="S171" s="41">
        <v>0.065297</v>
      </c>
      <c r="T171" s="41">
        <v>0.114257</v>
      </c>
      <c r="U171" s="13"/>
      <c r="V171" s="13"/>
      <c r="W171" s="13"/>
      <c r="X171" s="13"/>
      <c r="Y171" s="13"/>
      <c r="Z171" s="43">
        <v>2011</v>
      </c>
      <c r="AA171" s="43">
        <v>7</v>
      </c>
      <c r="AB171" s="10"/>
      <c r="AC171" s="10"/>
      <c r="AD171" s="10"/>
      <c r="AE171" s="10"/>
      <c r="AF171" s="10"/>
      <c r="AG171" s="10"/>
      <c r="AH171" s="10"/>
      <c r="AI171" s="10"/>
    </row>
    <row r="172" spans="1:35" ht="12.75">
      <c r="A172" s="8">
        <v>21</v>
      </c>
      <c r="B172" s="40" t="s">
        <v>260</v>
      </c>
      <c r="C172" s="13"/>
      <c r="D172" s="13"/>
      <c r="E172" s="13"/>
      <c r="F172" s="13"/>
      <c r="G172" s="13"/>
      <c r="H172" s="13"/>
      <c r="I172" s="8">
        <v>2</v>
      </c>
      <c r="J172" s="13"/>
      <c r="K172" s="13"/>
      <c r="L172" s="13"/>
      <c r="M172" s="13"/>
      <c r="N172" s="13"/>
      <c r="O172" s="13"/>
      <c r="P172" s="8">
        <v>2</v>
      </c>
      <c r="Q172" s="41">
        <v>0.179554</v>
      </c>
      <c r="R172" s="13"/>
      <c r="S172" s="41">
        <v>0.065297</v>
      </c>
      <c r="T172" s="41">
        <v>0.114257</v>
      </c>
      <c r="U172" s="13"/>
      <c r="V172" s="13"/>
      <c r="W172" s="13"/>
      <c r="X172" s="13"/>
      <c r="Y172" s="13"/>
      <c r="Z172" s="43">
        <v>2011</v>
      </c>
      <c r="AA172" s="43">
        <v>7</v>
      </c>
      <c r="AB172" s="10"/>
      <c r="AC172" s="10"/>
      <c r="AD172" s="10"/>
      <c r="AE172" s="10"/>
      <c r="AF172" s="10"/>
      <c r="AG172" s="10"/>
      <c r="AH172" s="10"/>
      <c r="AI172" s="10"/>
    </row>
    <row r="173" spans="1:35" ht="12.75">
      <c r="A173" s="8">
        <v>22</v>
      </c>
      <c r="B173" s="40" t="s">
        <v>261</v>
      </c>
      <c r="C173" s="13"/>
      <c r="D173" s="13"/>
      <c r="E173" s="13"/>
      <c r="F173" s="13"/>
      <c r="G173" s="13"/>
      <c r="H173" s="13"/>
      <c r="I173" s="8">
        <v>2</v>
      </c>
      <c r="J173" s="13"/>
      <c r="K173" s="13"/>
      <c r="L173" s="13"/>
      <c r="M173" s="13"/>
      <c r="N173" s="13"/>
      <c r="O173" s="13"/>
      <c r="P173" s="8">
        <v>4</v>
      </c>
      <c r="Q173" s="41">
        <v>0.179554</v>
      </c>
      <c r="R173" s="13"/>
      <c r="S173" s="41">
        <v>0.065297</v>
      </c>
      <c r="T173" s="41">
        <v>0.114257</v>
      </c>
      <c r="U173" s="13"/>
      <c r="V173" s="13"/>
      <c r="W173" s="13"/>
      <c r="X173" s="13"/>
      <c r="Y173" s="13"/>
      <c r="Z173" s="43">
        <v>2011</v>
      </c>
      <c r="AA173" s="43">
        <v>7</v>
      </c>
      <c r="AB173" s="10"/>
      <c r="AC173" s="10"/>
      <c r="AD173" s="10"/>
      <c r="AE173" s="10"/>
      <c r="AF173" s="10"/>
      <c r="AG173" s="10"/>
      <c r="AH173" s="10"/>
      <c r="AI173" s="10"/>
    </row>
    <row r="174" spans="1:35" ht="12.75">
      <c r="A174" s="8">
        <v>23</v>
      </c>
      <c r="B174" s="40" t="s">
        <v>262</v>
      </c>
      <c r="C174" s="13"/>
      <c r="D174" s="13"/>
      <c r="E174" s="13"/>
      <c r="F174" s="13"/>
      <c r="G174" s="13"/>
      <c r="H174" s="13"/>
      <c r="I174" s="8">
        <v>2</v>
      </c>
      <c r="J174" s="13"/>
      <c r="K174" s="13"/>
      <c r="L174" s="13"/>
      <c r="M174" s="13"/>
      <c r="N174" s="13"/>
      <c r="O174" s="13"/>
      <c r="P174" s="8">
        <v>6</v>
      </c>
      <c r="Q174" s="41">
        <v>0.179554</v>
      </c>
      <c r="R174" s="13"/>
      <c r="S174" s="41">
        <v>0.065297</v>
      </c>
      <c r="T174" s="41">
        <v>0.114257</v>
      </c>
      <c r="U174" s="13"/>
      <c r="V174" s="13"/>
      <c r="W174" s="13"/>
      <c r="X174" s="13"/>
      <c r="Y174" s="13"/>
      <c r="Z174" s="43">
        <v>2011</v>
      </c>
      <c r="AA174" s="43">
        <v>7</v>
      </c>
      <c r="AB174" s="10"/>
      <c r="AC174" s="10"/>
      <c r="AD174" s="10"/>
      <c r="AE174" s="10"/>
      <c r="AF174" s="10"/>
      <c r="AG174" s="10"/>
      <c r="AH174" s="10"/>
      <c r="AI174" s="10"/>
    </row>
    <row r="175" spans="1:35" ht="12.75">
      <c r="A175" s="8">
        <v>24</v>
      </c>
      <c r="B175" s="40" t="s">
        <v>263</v>
      </c>
      <c r="C175" s="13"/>
      <c r="D175" s="13"/>
      <c r="E175" s="13"/>
      <c r="F175" s="13"/>
      <c r="G175" s="13"/>
      <c r="H175" s="13"/>
      <c r="I175" s="8">
        <v>2</v>
      </c>
      <c r="J175" s="13"/>
      <c r="K175" s="13"/>
      <c r="L175" s="13"/>
      <c r="M175" s="13"/>
      <c r="N175" s="13"/>
      <c r="O175" s="13"/>
      <c r="P175" s="8">
        <v>3</v>
      </c>
      <c r="Q175" s="41">
        <v>0.179554</v>
      </c>
      <c r="R175" s="13"/>
      <c r="S175" s="41">
        <v>0.065297</v>
      </c>
      <c r="T175" s="41">
        <v>0.114257</v>
      </c>
      <c r="U175" s="13"/>
      <c r="V175" s="13"/>
      <c r="W175" s="13"/>
      <c r="X175" s="13"/>
      <c r="Y175" s="13"/>
      <c r="Z175" s="43">
        <v>2011</v>
      </c>
      <c r="AA175" s="43">
        <v>7</v>
      </c>
      <c r="AB175" s="10"/>
      <c r="AC175" s="10"/>
      <c r="AD175" s="10"/>
      <c r="AE175" s="10"/>
      <c r="AF175" s="10"/>
      <c r="AG175" s="10"/>
      <c r="AH175" s="10"/>
      <c r="AI175" s="10"/>
    </row>
    <row r="176" spans="1:35" ht="12.75">
      <c r="A176" s="8">
        <v>25</v>
      </c>
      <c r="B176" s="40" t="s">
        <v>264</v>
      </c>
      <c r="C176" s="13"/>
      <c r="D176" s="13"/>
      <c r="E176" s="13"/>
      <c r="F176" s="13"/>
      <c r="G176" s="13"/>
      <c r="H176" s="13"/>
      <c r="I176" s="8">
        <v>2</v>
      </c>
      <c r="J176" s="13"/>
      <c r="K176" s="13"/>
      <c r="L176" s="13"/>
      <c r="M176" s="13"/>
      <c r="N176" s="13"/>
      <c r="O176" s="13"/>
      <c r="P176" s="8">
        <v>1</v>
      </c>
      <c r="Q176" s="41">
        <v>0.179554</v>
      </c>
      <c r="R176" s="13"/>
      <c r="S176" s="41">
        <v>0.065297</v>
      </c>
      <c r="T176" s="41">
        <v>0.114257</v>
      </c>
      <c r="U176" s="13"/>
      <c r="V176" s="13"/>
      <c r="W176" s="13"/>
      <c r="X176" s="13"/>
      <c r="Y176" s="13"/>
      <c r="Z176" s="43">
        <v>2011</v>
      </c>
      <c r="AA176" s="43">
        <v>7</v>
      </c>
      <c r="AB176" s="10"/>
      <c r="AC176" s="10"/>
      <c r="AD176" s="10"/>
      <c r="AE176" s="10"/>
      <c r="AF176" s="10"/>
      <c r="AG176" s="10"/>
      <c r="AH176" s="10"/>
      <c r="AI176" s="10"/>
    </row>
    <row r="177" spans="1:35" ht="12.75">
      <c r="A177" s="8">
        <v>26</v>
      </c>
      <c r="B177" s="40" t="s">
        <v>265</v>
      </c>
      <c r="C177" s="13"/>
      <c r="D177" s="13"/>
      <c r="E177" s="13"/>
      <c r="F177" s="13"/>
      <c r="G177" s="13"/>
      <c r="H177" s="13"/>
      <c r="I177" s="8">
        <v>2</v>
      </c>
      <c r="J177" s="13"/>
      <c r="K177" s="13"/>
      <c r="L177" s="13"/>
      <c r="M177" s="13"/>
      <c r="N177" s="13"/>
      <c r="O177" s="13"/>
      <c r="P177" s="8">
        <v>1</v>
      </c>
      <c r="Q177" s="41">
        <v>0.179554</v>
      </c>
      <c r="R177" s="13"/>
      <c r="S177" s="41">
        <v>0.065297</v>
      </c>
      <c r="T177" s="41">
        <v>0.114257</v>
      </c>
      <c r="U177" s="13"/>
      <c r="V177" s="13"/>
      <c r="W177" s="13"/>
      <c r="X177" s="13"/>
      <c r="Y177" s="13"/>
      <c r="Z177" s="43">
        <v>2011</v>
      </c>
      <c r="AA177" s="43">
        <v>7</v>
      </c>
      <c r="AB177" s="10"/>
      <c r="AC177" s="10"/>
      <c r="AD177" s="10"/>
      <c r="AE177" s="10"/>
      <c r="AF177" s="10"/>
      <c r="AG177" s="10"/>
      <c r="AH177" s="10"/>
      <c r="AI177" s="10"/>
    </row>
    <row r="178" spans="1:35" ht="12.75">
      <c r="A178" s="8">
        <v>27</v>
      </c>
      <c r="B178" s="40" t="s">
        <v>266</v>
      </c>
      <c r="C178" s="13"/>
      <c r="D178" s="13"/>
      <c r="E178" s="13"/>
      <c r="F178" s="13"/>
      <c r="G178" s="13"/>
      <c r="H178" s="13"/>
      <c r="I178" s="8">
        <v>2</v>
      </c>
      <c r="J178" s="13"/>
      <c r="K178" s="13"/>
      <c r="L178" s="13"/>
      <c r="M178" s="13"/>
      <c r="N178" s="13"/>
      <c r="O178" s="13"/>
      <c r="P178" s="8">
        <v>6</v>
      </c>
      <c r="Q178" s="41">
        <v>0.179554</v>
      </c>
      <c r="R178" s="13"/>
      <c r="S178" s="41">
        <v>0.065297</v>
      </c>
      <c r="T178" s="41">
        <v>0.114257</v>
      </c>
      <c r="U178" s="13"/>
      <c r="V178" s="13"/>
      <c r="W178" s="13"/>
      <c r="X178" s="13"/>
      <c r="Y178" s="13"/>
      <c r="Z178" s="43">
        <v>2011</v>
      </c>
      <c r="AA178" s="43">
        <v>7</v>
      </c>
      <c r="AB178" s="10"/>
      <c r="AC178" s="10"/>
      <c r="AD178" s="10"/>
      <c r="AE178" s="10"/>
      <c r="AF178" s="10"/>
      <c r="AG178" s="10"/>
      <c r="AH178" s="10"/>
      <c r="AI178" s="10"/>
    </row>
    <row r="179" spans="1:35" ht="12.75">
      <c r="A179" s="8">
        <v>28</v>
      </c>
      <c r="B179" s="40" t="s">
        <v>267</v>
      </c>
      <c r="C179" s="13"/>
      <c r="D179" s="13"/>
      <c r="E179" s="13"/>
      <c r="F179" s="13"/>
      <c r="G179" s="13"/>
      <c r="H179" s="13"/>
      <c r="I179" s="8">
        <v>0</v>
      </c>
      <c r="J179" s="13"/>
      <c r="K179" s="13"/>
      <c r="L179" s="13"/>
      <c r="M179" s="13"/>
      <c r="N179" s="13"/>
      <c r="O179" s="13"/>
      <c r="P179" s="8">
        <v>4</v>
      </c>
      <c r="Q179" s="41">
        <v>0.179554</v>
      </c>
      <c r="R179" s="13"/>
      <c r="S179" s="41">
        <v>0.065297</v>
      </c>
      <c r="T179" s="41">
        <v>0.114257</v>
      </c>
      <c r="U179" s="13"/>
      <c r="V179" s="13"/>
      <c r="W179" s="13"/>
      <c r="X179" s="13"/>
      <c r="Y179" s="13"/>
      <c r="Z179" s="43">
        <v>2011</v>
      </c>
      <c r="AA179" s="43">
        <v>7</v>
      </c>
      <c r="AB179" s="10"/>
      <c r="AC179" s="10"/>
      <c r="AD179" s="10"/>
      <c r="AE179" s="10"/>
      <c r="AF179" s="10"/>
      <c r="AG179" s="10"/>
      <c r="AH179" s="10"/>
      <c r="AI179" s="10"/>
    </row>
    <row r="180" spans="1:35" ht="12.75">
      <c r="A180" s="8">
        <v>29</v>
      </c>
      <c r="B180" s="40" t="s">
        <v>268</v>
      </c>
      <c r="C180" s="13"/>
      <c r="D180" s="13"/>
      <c r="E180" s="13"/>
      <c r="F180" s="13"/>
      <c r="G180" s="13"/>
      <c r="H180" s="13"/>
      <c r="I180" s="8">
        <v>2</v>
      </c>
      <c r="J180" s="13"/>
      <c r="K180" s="13"/>
      <c r="L180" s="13"/>
      <c r="M180" s="13"/>
      <c r="N180" s="13"/>
      <c r="O180" s="13"/>
      <c r="P180" s="8" t="s">
        <v>240</v>
      </c>
      <c r="Q180" s="41">
        <v>0.179554</v>
      </c>
      <c r="R180" s="13"/>
      <c r="S180" s="41">
        <v>0.065297</v>
      </c>
      <c r="T180" s="41">
        <v>0.114257</v>
      </c>
      <c r="U180" s="13"/>
      <c r="V180" s="13"/>
      <c r="W180" s="13"/>
      <c r="X180" s="13"/>
      <c r="Y180" s="13"/>
      <c r="Z180" s="43">
        <v>2011</v>
      </c>
      <c r="AA180" s="43">
        <v>7</v>
      </c>
      <c r="AB180" s="10"/>
      <c r="AC180" s="10"/>
      <c r="AD180" s="10"/>
      <c r="AE180" s="10"/>
      <c r="AF180" s="10"/>
      <c r="AG180" s="10"/>
      <c r="AH180" s="10"/>
      <c r="AI180" s="10"/>
    </row>
    <row r="181" spans="1:35" ht="12.75">
      <c r="A181" s="8">
        <v>30</v>
      </c>
      <c r="B181" s="40" t="s">
        <v>269</v>
      </c>
      <c r="C181" s="13"/>
      <c r="D181" s="13"/>
      <c r="E181" s="13"/>
      <c r="F181" s="13"/>
      <c r="G181" s="13"/>
      <c r="H181" s="13"/>
      <c r="I181" s="8">
        <v>2</v>
      </c>
      <c r="J181" s="13"/>
      <c r="K181" s="13"/>
      <c r="L181" s="13"/>
      <c r="M181" s="13"/>
      <c r="N181" s="13"/>
      <c r="O181" s="13"/>
      <c r="P181" s="8">
        <v>5</v>
      </c>
      <c r="Q181" s="41">
        <v>0.179554</v>
      </c>
      <c r="R181" s="13"/>
      <c r="S181" s="41">
        <v>0.065297</v>
      </c>
      <c r="T181" s="41">
        <v>0.114257</v>
      </c>
      <c r="U181" s="13"/>
      <c r="V181" s="13"/>
      <c r="W181" s="13"/>
      <c r="X181" s="13"/>
      <c r="Y181" s="13"/>
      <c r="Z181" s="43">
        <v>2011</v>
      </c>
      <c r="AA181" s="43">
        <v>7</v>
      </c>
      <c r="AB181" s="10"/>
      <c r="AC181" s="10"/>
      <c r="AD181" s="10"/>
      <c r="AE181" s="10"/>
      <c r="AF181" s="10"/>
      <c r="AG181" s="10"/>
      <c r="AH181" s="10"/>
      <c r="AI181" s="10"/>
    </row>
    <row r="182" spans="1:35" ht="12.75">
      <c r="A182" s="8">
        <v>31</v>
      </c>
      <c r="B182" s="40" t="s">
        <v>270</v>
      </c>
      <c r="C182" s="13"/>
      <c r="D182" s="13"/>
      <c r="E182" s="13"/>
      <c r="F182" s="13"/>
      <c r="G182" s="13"/>
      <c r="H182" s="13"/>
      <c r="I182" s="8">
        <v>2</v>
      </c>
      <c r="J182" s="13"/>
      <c r="K182" s="13"/>
      <c r="L182" s="13"/>
      <c r="M182" s="13"/>
      <c r="N182" s="13"/>
      <c r="O182" s="13"/>
      <c r="P182" s="8">
        <v>1</v>
      </c>
      <c r="Q182" s="41">
        <v>0.179554</v>
      </c>
      <c r="R182" s="13"/>
      <c r="S182" s="41">
        <v>0.065297</v>
      </c>
      <c r="T182" s="41">
        <v>0.114257</v>
      </c>
      <c r="U182" s="13"/>
      <c r="V182" s="13"/>
      <c r="W182" s="13"/>
      <c r="X182" s="13"/>
      <c r="Y182" s="13"/>
      <c r="Z182" s="43">
        <v>2011</v>
      </c>
      <c r="AA182" s="43">
        <v>7</v>
      </c>
      <c r="AB182" s="10"/>
      <c r="AC182" s="10"/>
      <c r="AD182" s="10"/>
      <c r="AE182" s="10"/>
      <c r="AF182" s="10"/>
      <c r="AG182" s="10"/>
      <c r="AH182" s="10"/>
      <c r="AI182" s="10"/>
    </row>
    <row r="183" spans="1:35" ht="12.75">
      <c r="A183" s="8">
        <v>32</v>
      </c>
      <c r="B183" s="40" t="s">
        <v>271</v>
      </c>
      <c r="C183" s="13"/>
      <c r="D183" s="13"/>
      <c r="E183" s="13"/>
      <c r="F183" s="13"/>
      <c r="G183" s="13"/>
      <c r="H183" s="13"/>
      <c r="I183" s="8">
        <v>2</v>
      </c>
      <c r="J183" s="13"/>
      <c r="K183" s="13"/>
      <c r="L183" s="13"/>
      <c r="M183" s="13"/>
      <c r="N183" s="13"/>
      <c r="O183" s="13"/>
      <c r="P183" s="8">
        <v>2</v>
      </c>
      <c r="Q183" s="41">
        <v>0.179554</v>
      </c>
      <c r="R183" s="13"/>
      <c r="S183" s="41">
        <v>0.065297</v>
      </c>
      <c r="T183" s="41">
        <v>0.114257</v>
      </c>
      <c r="U183" s="13"/>
      <c r="V183" s="13"/>
      <c r="W183" s="13"/>
      <c r="X183" s="13"/>
      <c r="Y183" s="13"/>
      <c r="Z183" s="43">
        <v>2011</v>
      </c>
      <c r="AA183" s="43">
        <v>7</v>
      </c>
      <c r="AB183" s="10"/>
      <c r="AC183" s="10"/>
      <c r="AD183" s="10"/>
      <c r="AE183" s="10"/>
      <c r="AF183" s="10"/>
      <c r="AG183" s="10"/>
      <c r="AH183" s="10"/>
      <c r="AI183" s="10"/>
    </row>
    <row r="184" spans="1:35" ht="12.75">
      <c r="A184" s="8">
        <v>33</v>
      </c>
      <c r="B184" s="40" t="s">
        <v>272</v>
      </c>
      <c r="C184" s="13"/>
      <c r="D184" s="13"/>
      <c r="E184" s="13"/>
      <c r="F184" s="13"/>
      <c r="G184" s="13"/>
      <c r="H184" s="13"/>
      <c r="I184" s="8">
        <v>2</v>
      </c>
      <c r="J184" s="13"/>
      <c r="K184" s="13"/>
      <c r="L184" s="13"/>
      <c r="M184" s="13"/>
      <c r="N184" s="13"/>
      <c r="O184" s="13"/>
      <c r="P184" s="8">
        <v>2</v>
      </c>
      <c r="Q184" s="41">
        <v>0.179554</v>
      </c>
      <c r="R184" s="13"/>
      <c r="S184" s="41">
        <v>0.065297</v>
      </c>
      <c r="T184" s="41">
        <v>0.114257</v>
      </c>
      <c r="U184" s="13"/>
      <c r="V184" s="13"/>
      <c r="W184" s="13"/>
      <c r="X184" s="13"/>
      <c r="Y184" s="13"/>
      <c r="Z184" s="43">
        <v>2011</v>
      </c>
      <c r="AA184" s="43">
        <v>7</v>
      </c>
      <c r="AB184" s="10"/>
      <c r="AC184" s="10"/>
      <c r="AD184" s="10"/>
      <c r="AE184" s="10"/>
      <c r="AF184" s="10"/>
      <c r="AG184" s="10"/>
      <c r="AH184" s="10"/>
      <c r="AI184" s="10"/>
    </row>
    <row r="185" spans="1:35" ht="12.75">
      <c r="A185" s="8">
        <v>34</v>
      </c>
      <c r="B185" s="40" t="s">
        <v>273</v>
      </c>
      <c r="C185" s="13"/>
      <c r="D185" s="13"/>
      <c r="E185" s="13"/>
      <c r="F185" s="13"/>
      <c r="G185" s="13"/>
      <c r="H185" s="13"/>
      <c r="I185" s="8">
        <v>1</v>
      </c>
      <c r="J185" s="13"/>
      <c r="K185" s="13"/>
      <c r="L185" s="13"/>
      <c r="M185" s="13"/>
      <c r="N185" s="13"/>
      <c r="O185" s="13"/>
      <c r="P185" s="8" t="s">
        <v>240</v>
      </c>
      <c r="Q185" s="41">
        <v>0.179554</v>
      </c>
      <c r="R185" s="13"/>
      <c r="S185" s="41">
        <v>0.065297</v>
      </c>
      <c r="T185" s="41">
        <v>0.114257</v>
      </c>
      <c r="U185" s="13"/>
      <c r="V185" s="13"/>
      <c r="W185" s="13"/>
      <c r="X185" s="13"/>
      <c r="Y185" s="13"/>
      <c r="Z185" s="43">
        <v>2011</v>
      </c>
      <c r="AA185" s="43">
        <v>7</v>
      </c>
      <c r="AB185" s="10"/>
      <c r="AC185" s="10"/>
      <c r="AD185" s="10"/>
      <c r="AE185" s="10"/>
      <c r="AF185" s="10"/>
      <c r="AG185" s="10"/>
      <c r="AH185" s="10"/>
      <c r="AI185" s="10"/>
    </row>
    <row r="186" spans="1:35" ht="12.75">
      <c r="A186" s="8">
        <v>35</v>
      </c>
      <c r="B186" s="40" t="s">
        <v>274</v>
      </c>
      <c r="C186" s="13"/>
      <c r="D186" s="13"/>
      <c r="E186" s="13"/>
      <c r="F186" s="13"/>
      <c r="G186" s="13"/>
      <c r="H186" s="13"/>
      <c r="I186" s="8">
        <v>2</v>
      </c>
      <c r="J186" s="13"/>
      <c r="K186" s="13"/>
      <c r="L186" s="13"/>
      <c r="M186" s="13"/>
      <c r="N186" s="13"/>
      <c r="O186" s="13"/>
      <c r="P186" s="8" t="s">
        <v>240</v>
      </c>
      <c r="Q186" s="41">
        <v>0.179554</v>
      </c>
      <c r="R186" s="13"/>
      <c r="S186" s="41">
        <v>0.065297</v>
      </c>
      <c r="T186" s="41">
        <v>0.114257</v>
      </c>
      <c r="U186" s="13"/>
      <c r="V186" s="13"/>
      <c r="W186" s="13"/>
      <c r="X186" s="13"/>
      <c r="Y186" s="13"/>
      <c r="Z186" s="43">
        <v>2011</v>
      </c>
      <c r="AA186" s="43">
        <v>7</v>
      </c>
      <c r="AB186" s="10"/>
      <c r="AC186" s="10"/>
      <c r="AD186" s="10"/>
      <c r="AE186" s="10"/>
      <c r="AF186" s="10"/>
      <c r="AG186" s="10"/>
      <c r="AH186" s="10"/>
      <c r="AI186" s="10"/>
    </row>
    <row r="187" spans="1:35" ht="12.75">
      <c r="A187" s="8">
        <v>36</v>
      </c>
      <c r="B187" s="40" t="s">
        <v>275</v>
      </c>
      <c r="C187" s="13"/>
      <c r="D187" s="13"/>
      <c r="E187" s="13"/>
      <c r="F187" s="13"/>
      <c r="G187" s="13"/>
      <c r="H187" s="13"/>
      <c r="I187" s="8">
        <v>2</v>
      </c>
      <c r="J187" s="13"/>
      <c r="K187" s="13"/>
      <c r="L187" s="13"/>
      <c r="M187" s="13"/>
      <c r="N187" s="13"/>
      <c r="O187" s="13"/>
      <c r="P187" s="8" t="s">
        <v>240</v>
      </c>
      <c r="Q187" s="41">
        <v>0.179554</v>
      </c>
      <c r="R187" s="13"/>
      <c r="S187" s="41">
        <v>0.065297</v>
      </c>
      <c r="T187" s="41">
        <v>0.114257</v>
      </c>
      <c r="U187" s="13"/>
      <c r="V187" s="13"/>
      <c r="W187" s="13"/>
      <c r="X187" s="13"/>
      <c r="Y187" s="13"/>
      <c r="Z187" s="43">
        <v>2011</v>
      </c>
      <c r="AA187" s="43">
        <v>7</v>
      </c>
      <c r="AB187" s="10"/>
      <c r="AC187" s="10"/>
      <c r="AD187" s="10"/>
      <c r="AE187" s="10"/>
      <c r="AF187" s="10"/>
      <c r="AG187" s="10"/>
      <c r="AH187" s="10"/>
      <c r="AI187" s="10"/>
    </row>
    <row r="188" spans="1:35" ht="12.75">
      <c r="A188" s="8">
        <v>37</v>
      </c>
      <c r="B188" s="40" t="s">
        <v>276</v>
      </c>
      <c r="C188" s="13"/>
      <c r="D188" s="13"/>
      <c r="E188" s="13"/>
      <c r="F188" s="13"/>
      <c r="G188" s="13"/>
      <c r="H188" s="13"/>
      <c r="I188" s="8">
        <v>2</v>
      </c>
      <c r="J188" s="13"/>
      <c r="K188" s="13"/>
      <c r="L188" s="13"/>
      <c r="M188" s="13"/>
      <c r="N188" s="13"/>
      <c r="O188" s="13"/>
      <c r="P188" s="8" t="s">
        <v>240</v>
      </c>
      <c r="Q188" s="41">
        <v>0.179554</v>
      </c>
      <c r="R188" s="13"/>
      <c r="S188" s="41">
        <v>0.065297</v>
      </c>
      <c r="T188" s="41">
        <v>0.114257</v>
      </c>
      <c r="U188" s="13"/>
      <c r="V188" s="13"/>
      <c r="W188" s="13"/>
      <c r="X188" s="13"/>
      <c r="Y188" s="13"/>
      <c r="Z188" s="43">
        <v>2011</v>
      </c>
      <c r="AA188" s="43">
        <v>7</v>
      </c>
      <c r="AB188" s="10"/>
      <c r="AC188" s="10"/>
      <c r="AD188" s="10"/>
      <c r="AE188" s="10"/>
      <c r="AF188" s="10"/>
      <c r="AG188" s="10"/>
      <c r="AH188" s="10"/>
      <c r="AI188" s="10"/>
    </row>
    <row r="189" spans="1:35" ht="12.75">
      <c r="A189" s="8">
        <v>38</v>
      </c>
      <c r="B189" s="40" t="s">
        <v>277</v>
      </c>
      <c r="C189" s="13"/>
      <c r="D189" s="13"/>
      <c r="E189" s="13"/>
      <c r="F189" s="13"/>
      <c r="G189" s="13"/>
      <c r="H189" s="13"/>
      <c r="I189" s="8">
        <v>1</v>
      </c>
      <c r="J189" s="13"/>
      <c r="K189" s="13"/>
      <c r="L189" s="13"/>
      <c r="M189" s="13"/>
      <c r="N189" s="13"/>
      <c r="O189" s="13"/>
      <c r="P189" s="8" t="s">
        <v>240</v>
      </c>
      <c r="Q189" s="41">
        <v>0.179554</v>
      </c>
      <c r="R189" s="13"/>
      <c r="S189" s="41">
        <v>0.065297</v>
      </c>
      <c r="T189" s="41">
        <v>0.114257</v>
      </c>
      <c r="U189" s="13"/>
      <c r="V189" s="13"/>
      <c r="W189" s="13"/>
      <c r="X189" s="13"/>
      <c r="Y189" s="13"/>
      <c r="Z189" s="43">
        <v>2011</v>
      </c>
      <c r="AA189" s="43">
        <v>7</v>
      </c>
      <c r="AB189" s="10"/>
      <c r="AC189" s="10"/>
      <c r="AD189" s="10"/>
      <c r="AE189" s="10"/>
      <c r="AF189" s="10"/>
      <c r="AG189" s="10"/>
      <c r="AH189" s="10"/>
      <c r="AI189" s="10"/>
    </row>
    <row r="190" spans="1:35" ht="12.75">
      <c r="A190" s="8">
        <v>39</v>
      </c>
      <c r="B190" s="40" t="s">
        <v>278</v>
      </c>
      <c r="C190" s="13"/>
      <c r="D190" s="13"/>
      <c r="E190" s="13"/>
      <c r="F190" s="13"/>
      <c r="G190" s="13"/>
      <c r="H190" s="13"/>
      <c r="I190" s="8">
        <v>1</v>
      </c>
      <c r="J190" s="13"/>
      <c r="K190" s="13"/>
      <c r="L190" s="13"/>
      <c r="M190" s="13"/>
      <c r="N190" s="13"/>
      <c r="O190" s="13"/>
      <c r="P190" s="8" t="s">
        <v>240</v>
      </c>
      <c r="Q190" s="41">
        <v>0.179554</v>
      </c>
      <c r="R190" s="13"/>
      <c r="S190" s="41">
        <v>0.065297</v>
      </c>
      <c r="T190" s="41">
        <v>0.114257</v>
      </c>
      <c r="U190" s="13"/>
      <c r="V190" s="13"/>
      <c r="W190" s="13"/>
      <c r="X190" s="13"/>
      <c r="Y190" s="13"/>
      <c r="Z190" s="43">
        <v>2011</v>
      </c>
      <c r="AA190" s="43">
        <v>7</v>
      </c>
      <c r="AB190" s="10"/>
      <c r="AC190" s="10"/>
      <c r="AD190" s="10"/>
      <c r="AE190" s="10"/>
      <c r="AF190" s="10"/>
      <c r="AG190" s="10"/>
      <c r="AH190" s="10"/>
      <c r="AI190" s="10"/>
    </row>
    <row r="191" spans="1:35" ht="12.75">
      <c r="A191" s="8">
        <v>40</v>
      </c>
      <c r="B191" s="40" t="s">
        <v>279</v>
      </c>
      <c r="C191" s="13"/>
      <c r="D191" s="13"/>
      <c r="E191" s="13"/>
      <c r="F191" s="13"/>
      <c r="G191" s="13"/>
      <c r="H191" s="13"/>
      <c r="I191" s="8">
        <v>2</v>
      </c>
      <c r="J191" s="13"/>
      <c r="K191" s="13"/>
      <c r="L191" s="13"/>
      <c r="M191" s="13"/>
      <c r="N191" s="13"/>
      <c r="O191" s="13"/>
      <c r="P191" s="8">
        <v>4</v>
      </c>
      <c r="Q191" s="41">
        <v>0.179554</v>
      </c>
      <c r="R191" s="13"/>
      <c r="S191" s="41">
        <v>0.065297</v>
      </c>
      <c r="T191" s="41">
        <v>0.114257</v>
      </c>
      <c r="U191" s="13"/>
      <c r="V191" s="13"/>
      <c r="W191" s="13"/>
      <c r="X191" s="13"/>
      <c r="Y191" s="13"/>
      <c r="Z191" s="43">
        <v>2011</v>
      </c>
      <c r="AA191" s="43">
        <v>7</v>
      </c>
      <c r="AB191" s="10"/>
      <c r="AC191" s="10"/>
      <c r="AD191" s="10"/>
      <c r="AE191" s="10"/>
      <c r="AF191" s="10"/>
      <c r="AG191" s="10"/>
      <c r="AH191" s="10"/>
      <c r="AI191" s="10"/>
    </row>
    <row r="192" spans="1:35" ht="12.75">
      <c r="A192" s="8">
        <v>41</v>
      </c>
      <c r="B192" s="40" t="s">
        <v>280</v>
      </c>
      <c r="C192" s="13"/>
      <c r="D192" s="13"/>
      <c r="E192" s="13"/>
      <c r="F192" s="13"/>
      <c r="G192" s="13"/>
      <c r="H192" s="13"/>
      <c r="I192" s="8">
        <v>2</v>
      </c>
      <c r="J192" s="13"/>
      <c r="K192" s="13"/>
      <c r="L192" s="13"/>
      <c r="M192" s="13"/>
      <c r="N192" s="13"/>
      <c r="O192" s="13"/>
      <c r="P192" s="8">
        <v>7</v>
      </c>
      <c r="Q192" s="41">
        <v>0.179554</v>
      </c>
      <c r="R192" s="13"/>
      <c r="S192" s="41">
        <v>0.065297</v>
      </c>
      <c r="T192" s="41">
        <v>0.114257</v>
      </c>
      <c r="U192" s="13"/>
      <c r="V192" s="13"/>
      <c r="W192" s="13"/>
      <c r="X192" s="13"/>
      <c r="Y192" s="13"/>
      <c r="Z192" s="43">
        <v>2011</v>
      </c>
      <c r="AA192" s="43">
        <v>7</v>
      </c>
      <c r="AB192" s="10"/>
      <c r="AC192" s="10"/>
      <c r="AD192" s="10"/>
      <c r="AE192" s="10"/>
      <c r="AF192" s="10"/>
      <c r="AG192" s="10"/>
      <c r="AH192" s="10"/>
      <c r="AI192" s="10"/>
    </row>
    <row r="193" spans="1:35" ht="12.75">
      <c r="A193" s="8">
        <v>42</v>
      </c>
      <c r="B193" s="40" t="s">
        <v>281</v>
      </c>
      <c r="C193" s="13"/>
      <c r="D193" s="13"/>
      <c r="E193" s="13"/>
      <c r="F193" s="13"/>
      <c r="G193" s="13"/>
      <c r="H193" s="13"/>
      <c r="I193" s="8">
        <v>2</v>
      </c>
      <c r="J193" s="13"/>
      <c r="K193" s="13"/>
      <c r="L193" s="13"/>
      <c r="M193" s="13"/>
      <c r="N193" s="13"/>
      <c r="O193" s="13"/>
      <c r="P193" s="8">
        <v>8</v>
      </c>
      <c r="Q193" s="41">
        <v>0.179554</v>
      </c>
      <c r="R193" s="13"/>
      <c r="S193" s="41">
        <v>0.065297</v>
      </c>
      <c r="T193" s="41">
        <v>0.114257</v>
      </c>
      <c r="U193" s="13"/>
      <c r="V193" s="13"/>
      <c r="W193" s="13"/>
      <c r="X193" s="13"/>
      <c r="Y193" s="13"/>
      <c r="Z193" s="43">
        <v>2011</v>
      </c>
      <c r="AA193" s="43">
        <v>7</v>
      </c>
      <c r="AB193" s="10"/>
      <c r="AC193" s="10"/>
      <c r="AD193" s="10"/>
      <c r="AE193" s="10"/>
      <c r="AF193" s="10"/>
      <c r="AG193" s="10"/>
      <c r="AH193" s="10"/>
      <c r="AI193" s="10"/>
    </row>
    <row r="194" spans="1:35" ht="12.75">
      <c r="A194" s="8">
        <v>43</v>
      </c>
      <c r="B194" s="40" t="s">
        <v>282</v>
      </c>
      <c r="C194" s="13"/>
      <c r="D194" s="13"/>
      <c r="E194" s="13"/>
      <c r="F194" s="13"/>
      <c r="G194" s="13"/>
      <c r="H194" s="13"/>
      <c r="I194" s="8">
        <v>2</v>
      </c>
      <c r="J194" s="13"/>
      <c r="K194" s="13"/>
      <c r="L194" s="13"/>
      <c r="M194" s="13"/>
      <c r="N194" s="13"/>
      <c r="O194" s="13"/>
      <c r="P194" s="8">
        <v>4</v>
      </c>
      <c r="Q194" s="41">
        <v>0.179554</v>
      </c>
      <c r="R194" s="13"/>
      <c r="S194" s="41">
        <v>0.065297</v>
      </c>
      <c r="T194" s="41">
        <v>0.114257</v>
      </c>
      <c r="U194" s="13"/>
      <c r="V194" s="13"/>
      <c r="W194" s="13"/>
      <c r="X194" s="13"/>
      <c r="Y194" s="13"/>
      <c r="Z194" s="43">
        <v>2011</v>
      </c>
      <c r="AA194" s="43">
        <v>7</v>
      </c>
      <c r="AB194" s="10"/>
      <c r="AC194" s="10"/>
      <c r="AD194" s="10"/>
      <c r="AE194" s="10"/>
      <c r="AF194" s="10"/>
      <c r="AG194" s="10"/>
      <c r="AH194" s="10"/>
      <c r="AI194" s="10"/>
    </row>
    <row r="195" spans="1:35" ht="12.75">
      <c r="A195" s="8">
        <v>44</v>
      </c>
      <c r="B195" s="40" t="s">
        <v>283</v>
      </c>
      <c r="C195" s="13"/>
      <c r="D195" s="13"/>
      <c r="E195" s="13"/>
      <c r="F195" s="13"/>
      <c r="G195" s="13"/>
      <c r="H195" s="13"/>
      <c r="I195" s="8">
        <v>1</v>
      </c>
      <c r="J195" s="13"/>
      <c r="K195" s="13"/>
      <c r="L195" s="13"/>
      <c r="M195" s="13"/>
      <c r="N195" s="13"/>
      <c r="O195" s="13"/>
      <c r="P195" s="8">
        <v>4</v>
      </c>
      <c r="Q195" s="41">
        <v>0.179554</v>
      </c>
      <c r="R195" s="13"/>
      <c r="S195" s="41">
        <v>0.065297</v>
      </c>
      <c r="T195" s="41">
        <v>0.114257</v>
      </c>
      <c r="U195" s="13"/>
      <c r="V195" s="13"/>
      <c r="W195" s="13"/>
      <c r="X195" s="13"/>
      <c r="Y195" s="13"/>
      <c r="Z195" s="43">
        <v>2011</v>
      </c>
      <c r="AA195" s="43">
        <v>7</v>
      </c>
      <c r="AB195" s="10"/>
      <c r="AC195" s="10"/>
      <c r="AD195" s="10"/>
      <c r="AE195" s="10"/>
      <c r="AF195" s="10"/>
      <c r="AG195" s="10"/>
      <c r="AH195" s="10"/>
      <c r="AI195" s="10"/>
    </row>
    <row r="196" spans="1:35" ht="12.75">
      <c r="A196" s="8">
        <v>45</v>
      </c>
      <c r="B196" s="40" t="s">
        <v>284</v>
      </c>
      <c r="C196" s="13"/>
      <c r="D196" s="13"/>
      <c r="E196" s="13"/>
      <c r="F196" s="13"/>
      <c r="G196" s="13"/>
      <c r="H196" s="13"/>
      <c r="I196" s="8">
        <v>2</v>
      </c>
      <c r="J196" s="13"/>
      <c r="K196" s="13"/>
      <c r="L196" s="13"/>
      <c r="M196" s="13"/>
      <c r="N196" s="13"/>
      <c r="O196" s="13"/>
      <c r="P196" s="8">
        <v>6</v>
      </c>
      <c r="Q196" s="41">
        <v>0.179554</v>
      </c>
      <c r="R196" s="13"/>
      <c r="S196" s="41">
        <v>0.065297</v>
      </c>
      <c r="T196" s="41">
        <v>0.114257</v>
      </c>
      <c r="U196" s="13"/>
      <c r="V196" s="13"/>
      <c r="W196" s="13"/>
      <c r="X196" s="13"/>
      <c r="Y196" s="13"/>
      <c r="Z196" s="43">
        <v>2011</v>
      </c>
      <c r="AA196" s="43">
        <v>7</v>
      </c>
      <c r="AB196" s="10"/>
      <c r="AC196" s="10"/>
      <c r="AD196" s="10"/>
      <c r="AE196" s="10"/>
      <c r="AF196" s="10"/>
      <c r="AG196" s="10"/>
      <c r="AH196" s="10"/>
      <c r="AI196" s="10"/>
    </row>
    <row r="197" spans="1:35" ht="12.75">
      <c r="A197" s="8">
        <v>46</v>
      </c>
      <c r="B197" s="40" t="s">
        <v>285</v>
      </c>
      <c r="C197" s="13"/>
      <c r="D197" s="13"/>
      <c r="E197" s="13"/>
      <c r="F197" s="13"/>
      <c r="G197" s="13"/>
      <c r="H197" s="13"/>
      <c r="I197" s="8">
        <v>2</v>
      </c>
      <c r="J197" s="13"/>
      <c r="K197" s="13"/>
      <c r="L197" s="13"/>
      <c r="M197" s="13"/>
      <c r="N197" s="13"/>
      <c r="O197" s="13"/>
      <c r="P197" s="8" t="s">
        <v>240</v>
      </c>
      <c r="Q197" s="41">
        <v>0.179554</v>
      </c>
      <c r="R197" s="13"/>
      <c r="S197" s="41">
        <v>0.065297</v>
      </c>
      <c r="T197" s="41">
        <v>0.114257</v>
      </c>
      <c r="U197" s="13"/>
      <c r="V197" s="13"/>
      <c r="W197" s="13"/>
      <c r="X197" s="13"/>
      <c r="Y197" s="13"/>
      <c r="Z197" s="43">
        <v>2011</v>
      </c>
      <c r="AA197" s="43">
        <v>7</v>
      </c>
      <c r="AB197" s="10"/>
      <c r="AC197" s="10"/>
      <c r="AD197" s="10"/>
      <c r="AE197" s="10"/>
      <c r="AF197" s="10"/>
      <c r="AG197" s="10"/>
      <c r="AH197" s="10"/>
      <c r="AI197" s="10"/>
    </row>
    <row r="198" spans="1:35" ht="12.75">
      <c r="A198" s="8">
        <v>47</v>
      </c>
      <c r="B198" s="40" t="s">
        <v>286</v>
      </c>
      <c r="C198" s="13"/>
      <c r="D198" s="13"/>
      <c r="E198" s="13"/>
      <c r="F198" s="13"/>
      <c r="G198" s="13"/>
      <c r="H198" s="13"/>
      <c r="I198" s="8">
        <v>1</v>
      </c>
      <c r="J198" s="13"/>
      <c r="K198" s="13"/>
      <c r="L198" s="13"/>
      <c r="M198" s="13"/>
      <c r="N198" s="13"/>
      <c r="O198" s="13"/>
      <c r="P198" s="8" t="s">
        <v>240</v>
      </c>
      <c r="Q198" s="41">
        <v>0.179554</v>
      </c>
      <c r="R198" s="13"/>
      <c r="S198" s="41">
        <v>0.065297</v>
      </c>
      <c r="T198" s="41">
        <v>0.114257</v>
      </c>
      <c r="U198" s="13"/>
      <c r="V198" s="13"/>
      <c r="W198" s="13"/>
      <c r="X198" s="13"/>
      <c r="Y198" s="13"/>
      <c r="Z198" s="43">
        <v>2011</v>
      </c>
      <c r="AA198" s="43">
        <v>7</v>
      </c>
      <c r="AB198" s="10"/>
      <c r="AC198" s="10"/>
      <c r="AD198" s="10"/>
      <c r="AE198" s="10"/>
      <c r="AF198" s="10"/>
      <c r="AG198" s="10"/>
      <c r="AH198" s="10"/>
      <c r="AI198" s="10"/>
    </row>
    <row r="199" spans="1:35" ht="12.75">
      <c r="A199" s="8">
        <v>48</v>
      </c>
      <c r="B199" s="40" t="s">
        <v>287</v>
      </c>
      <c r="C199" s="13"/>
      <c r="D199" s="13"/>
      <c r="E199" s="13"/>
      <c r="F199" s="13"/>
      <c r="G199" s="13"/>
      <c r="H199" s="13"/>
      <c r="I199" s="8">
        <v>2</v>
      </c>
      <c r="J199" s="13"/>
      <c r="K199" s="13"/>
      <c r="L199" s="13"/>
      <c r="M199" s="13"/>
      <c r="N199" s="13"/>
      <c r="O199" s="13"/>
      <c r="P199" s="8" t="s">
        <v>240</v>
      </c>
      <c r="Q199" s="41">
        <v>0.179554</v>
      </c>
      <c r="R199" s="13"/>
      <c r="S199" s="41">
        <v>0.065297</v>
      </c>
      <c r="T199" s="41">
        <v>0.114257</v>
      </c>
      <c r="U199" s="13"/>
      <c r="V199" s="13"/>
      <c r="W199" s="13"/>
      <c r="X199" s="13"/>
      <c r="Y199" s="13"/>
      <c r="Z199" s="43">
        <v>2011</v>
      </c>
      <c r="AA199" s="43">
        <v>7</v>
      </c>
      <c r="AB199" s="10"/>
      <c r="AC199" s="10"/>
      <c r="AD199" s="10"/>
      <c r="AE199" s="10"/>
      <c r="AF199" s="10"/>
      <c r="AG199" s="10"/>
      <c r="AH199" s="10"/>
      <c r="AI199" s="10"/>
    </row>
    <row r="200" spans="1:35" ht="12.75">
      <c r="A200" s="8">
        <v>49</v>
      </c>
      <c r="B200" s="40" t="s">
        <v>288</v>
      </c>
      <c r="C200" s="13"/>
      <c r="D200" s="13"/>
      <c r="E200" s="13"/>
      <c r="F200" s="13"/>
      <c r="G200" s="13"/>
      <c r="H200" s="13"/>
      <c r="I200" s="8">
        <v>1</v>
      </c>
      <c r="J200" s="13"/>
      <c r="K200" s="13"/>
      <c r="L200" s="13"/>
      <c r="M200" s="13"/>
      <c r="N200" s="13"/>
      <c r="O200" s="13"/>
      <c r="P200" s="8" t="s">
        <v>240</v>
      </c>
      <c r="Q200" s="41">
        <v>0.179554</v>
      </c>
      <c r="R200" s="13"/>
      <c r="S200" s="41">
        <v>0.065297</v>
      </c>
      <c r="T200" s="41">
        <v>0.114257</v>
      </c>
      <c r="U200" s="13"/>
      <c r="V200" s="13"/>
      <c r="W200" s="13"/>
      <c r="X200" s="13"/>
      <c r="Y200" s="13"/>
      <c r="Z200" s="43">
        <v>2011</v>
      </c>
      <c r="AA200" s="43">
        <v>7</v>
      </c>
      <c r="AB200" s="10"/>
      <c r="AC200" s="10"/>
      <c r="AD200" s="10"/>
      <c r="AE200" s="10"/>
      <c r="AF200" s="10"/>
      <c r="AG200" s="10"/>
      <c r="AH200" s="10"/>
      <c r="AI200" s="10"/>
    </row>
    <row r="201" spans="1:35" ht="12.75">
      <c r="A201" s="8">
        <v>50</v>
      </c>
      <c r="B201" s="40" t="s">
        <v>289</v>
      </c>
      <c r="C201" s="13"/>
      <c r="D201" s="13"/>
      <c r="E201" s="13"/>
      <c r="F201" s="13"/>
      <c r="G201" s="13"/>
      <c r="H201" s="13"/>
      <c r="I201" s="8">
        <v>1</v>
      </c>
      <c r="J201" s="13"/>
      <c r="K201" s="13"/>
      <c r="L201" s="13"/>
      <c r="M201" s="13"/>
      <c r="N201" s="13"/>
      <c r="O201" s="13"/>
      <c r="P201" s="8" t="s">
        <v>240</v>
      </c>
      <c r="Q201" s="41">
        <v>0.179554</v>
      </c>
      <c r="R201" s="13"/>
      <c r="S201" s="41">
        <v>0.065297</v>
      </c>
      <c r="T201" s="41">
        <v>0.114257</v>
      </c>
      <c r="U201" s="13"/>
      <c r="V201" s="13"/>
      <c r="W201" s="13"/>
      <c r="X201" s="13"/>
      <c r="Y201" s="13"/>
      <c r="Z201" s="43">
        <v>2011</v>
      </c>
      <c r="AA201" s="43">
        <v>7</v>
      </c>
      <c r="AB201" s="10"/>
      <c r="AC201" s="10"/>
      <c r="AD201" s="10"/>
      <c r="AE201" s="10"/>
      <c r="AF201" s="10"/>
      <c r="AG201" s="10"/>
      <c r="AH201" s="10"/>
      <c r="AI201" s="10"/>
    </row>
    <row r="202" spans="1:35" ht="12.75">
      <c r="A202" s="8">
        <v>51</v>
      </c>
      <c r="B202" s="40" t="s">
        <v>290</v>
      </c>
      <c r="C202" s="13"/>
      <c r="D202" s="13"/>
      <c r="E202" s="13"/>
      <c r="F202" s="13"/>
      <c r="G202" s="13"/>
      <c r="H202" s="13"/>
      <c r="I202" s="8">
        <v>2</v>
      </c>
      <c r="J202" s="13"/>
      <c r="K202" s="13"/>
      <c r="L202" s="13"/>
      <c r="M202" s="13"/>
      <c r="N202" s="13"/>
      <c r="O202" s="13"/>
      <c r="P202" s="8">
        <v>1</v>
      </c>
      <c r="Q202" s="41">
        <v>0.179554</v>
      </c>
      <c r="R202" s="13"/>
      <c r="S202" s="41">
        <v>0.065297</v>
      </c>
      <c r="T202" s="41">
        <v>0.114257</v>
      </c>
      <c r="U202" s="13"/>
      <c r="V202" s="13"/>
      <c r="W202" s="13"/>
      <c r="X202" s="13"/>
      <c r="Y202" s="13"/>
      <c r="Z202" s="43">
        <v>2011</v>
      </c>
      <c r="AA202" s="43">
        <v>7</v>
      </c>
      <c r="AB202" s="10"/>
      <c r="AC202" s="10"/>
      <c r="AD202" s="10"/>
      <c r="AE202" s="10"/>
      <c r="AF202" s="10"/>
      <c r="AG202" s="10"/>
      <c r="AH202" s="10"/>
      <c r="AI202" s="10"/>
    </row>
    <row r="203" spans="1:35" ht="12.75">
      <c r="A203" s="8">
        <v>52</v>
      </c>
      <c r="B203" s="40" t="s">
        <v>291</v>
      </c>
      <c r="C203" s="13"/>
      <c r="D203" s="13"/>
      <c r="E203" s="13"/>
      <c r="F203" s="13"/>
      <c r="G203" s="13"/>
      <c r="H203" s="13"/>
      <c r="I203" s="8">
        <v>2</v>
      </c>
      <c r="J203" s="13"/>
      <c r="K203" s="13"/>
      <c r="L203" s="13"/>
      <c r="M203" s="13"/>
      <c r="N203" s="13"/>
      <c r="O203" s="13"/>
      <c r="P203" s="8">
        <v>2</v>
      </c>
      <c r="Q203" s="41">
        <v>0.179554</v>
      </c>
      <c r="R203" s="13"/>
      <c r="S203" s="41">
        <v>0.065297</v>
      </c>
      <c r="T203" s="41">
        <v>0.114257</v>
      </c>
      <c r="U203" s="13"/>
      <c r="V203" s="13"/>
      <c r="W203" s="13"/>
      <c r="X203" s="13"/>
      <c r="Y203" s="13"/>
      <c r="Z203" s="43">
        <v>2011</v>
      </c>
      <c r="AA203" s="43">
        <v>7</v>
      </c>
      <c r="AB203" s="10"/>
      <c r="AC203" s="10"/>
      <c r="AD203" s="10"/>
      <c r="AE203" s="10"/>
      <c r="AF203" s="10"/>
      <c r="AG203" s="10"/>
      <c r="AH203" s="10"/>
      <c r="AI203" s="10"/>
    </row>
    <row r="204" spans="1:35" ht="12.75">
      <c r="A204" s="8">
        <v>53</v>
      </c>
      <c r="B204" s="40" t="s">
        <v>292</v>
      </c>
      <c r="C204" s="13"/>
      <c r="D204" s="13"/>
      <c r="E204" s="13"/>
      <c r="F204" s="13"/>
      <c r="G204" s="13"/>
      <c r="H204" s="13"/>
      <c r="I204" s="8">
        <v>1</v>
      </c>
      <c r="J204" s="13"/>
      <c r="K204" s="13"/>
      <c r="L204" s="13"/>
      <c r="M204" s="13"/>
      <c r="N204" s="13"/>
      <c r="O204" s="13"/>
      <c r="P204" s="8" t="s">
        <v>240</v>
      </c>
      <c r="Q204" s="41">
        <v>0.179554</v>
      </c>
      <c r="R204" s="13"/>
      <c r="S204" s="41">
        <v>0.065297</v>
      </c>
      <c r="T204" s="41">
        <v>0.114257</v>
      </c>
      <c r="U204" s="13"/>
      <c r="V204" s="13"/>
      <c r="W204" s="13"/>
      <c r="X204" s="13"/>
      <c r="Y204" s="13"/>
      <c r="Z204" s="43">
        <v>2011</v>
      </c>
      <c r="AA204" s="43">
        <v>7</v>
      </c>
      <c r="AB204" s="10"/>
      <c r="AC204" s="10"/>
      <c r="AD204" s="10"/>
      <c r="AE204" s="10"/>
      <c r="AF204" s="10"/>
      <c r="AG204" s="10"/>
      <c r="AH204" s="10"/>
      <c r="AI204" s="10"/>
    </row>
    <row r="205" spans="1:35" ht="12.75">
      <c r="A205" s="8">
        <v>54</v>
      </c>
      <c r="B205" s="40" t="s">
        <v>293</v>
      </c>
      <c r="C205" s="13"/>
      <c r="D205" s="13"/>
      <c r="E205" s="13"/>
      <c r="F205" s="13"/>
      <c r="G205" s="13"/>
      <c r="H205" s="13"/>
      <c r="I205" s="8">
        <v>2</v>
      </c>
      <c r="J205" s="13"/>
      <c r="K205" s="13"/>
      <c r="L205" s="13"/>
      <c r="M205" s="13"/>
      <c r="N205" s="13"/>
      <c r="O205" s="13"/>
      <c r="P205" s="8">
        <v>4</v>
      </c>
      <c r="Q205" s="41">
        <v>0.179554</v>
      </c>
      <c r="R205" s="13"/>
      <c r="S205" s="41">
        <v>0.065297</v>
      </c>
      <c r="T205" s="41">
        <v>0.114257</v>
      </c>
      <c r="U205" s="13"/>
      <c r="V205" s="13"/>
      <c r="W205" s="13"/>
      <c r="X205" s="13"/>
      <c r="Y205" s="13"/>
      <c r="Z205" s="43">
        <v>2011</v>
      </c>
      <c r="AA205" s="43">
        <v>7</v>
      </c>
      <c r="AB205" s="10"/>
      <c r="AC205" s="10"/>
      <c r="AD205" s="10"/>
      <c r="AE205" s="10"/>
      <c r="AF205" s="10"/>
      <c r="AG205" s="10"/>
      <c r="AH205" s="10"/>
      <c r="AI205" s="10"/>
    </row>
    <row r="206" spans="1:35" ht="12.75">
      <c r="A206" s="8">
        <v>55</v>
      </c>
      <c r="B206" s="40" t="s">
        <v>294</v>
      </c>
      <c r="C206" s="13"/>
      <c r="D206" s="13"/>
      <c r="E206" s="13"/>
      <c r="F206" s="13"/>
      <c r="G206" s="13"/>
      <c r="H206" s="13"/>
      <c r="I206" s="8">
        <v>1</v>
      </c>
      <c r="J206" s="13"/>
      <c r="K206" s="13"/>
      <c r="L206" s="13"/>
      <c r="M206" s="13"/>
      <c r="N206" s="13"/>
      <c r="O206" s="13"/>
      <c r="P206" s="8">
        <v>1</v>
      </c>
      <c r="Q206" s="41">
        <v>0.179554</v>
      </c>
      <c r="R206" s="13"/>
      <c r="S206" s="41">
        <v>0.065297</v>
      </c>
      <c r="T206" s="41">
        <v>0.114257</v>
      </c>
      <c r="U206" s="13"/>
      <c r="V206" s="13"/>
      <c r="W206" s="13"/>
      <c r="X206" s="13"/>
      <c r="Y206" s="13"/>
      <c r="Z206" s="43">
        <v>2011</v>
      </c>
      <c r="AA206" s="43">
        <v>7</v>
      </c>
      <c r="AB206" s="10"/>
      <c r="AC206" s="10"/>
      <c r="AD206" s="10"/>
      <c r="AE206" s="10"/>
      <c r="AF206" s="10"/>
      <c r="AG206" s="10"/>
      <c r="AH206" s="10"/>
      <c r="AI206" s="10"/>
    </row>
    <row r="207" spans="1:35" ht="12.75">
      <c r="A207" s="8">
        <v>56</v>
      </c>
      <c r="B207" s="40" t="s">
        <v>295</v>
      </c>
      <c r="C207" s="13"/>
      <c r="D207" s="13"/>
      <c r="E207" s="13"/>
      <c r="F207" s="13"/>
      <c r="G207" s="13"/>
      <c r="H207" s="13"/>
      <c r="I207" s="8">
        <v>2</v>
      </c>
      <c r="J207" s="13"/>
      <c r="K207" s="13"/>
      <c r="L207" s="13"/>
      <c r="M207" s="13"/>
      <c r="N207" s="13"/>
      <c r="O207" s="13"/>
      <c r="P207" s="8">
        <v>3</v>
      </c>
      <c r="Q207" s="41">
        <v>0.179554</v>
      </c>
      <c r="R207" s="13"/>
      <c r="S207" s="41">
        <v>0.065297</v>
      </c>
      <c r="T207" s="41">
        <v>0.114257</v>
      </c>
      <c r="U207" s="13"/>
      <c r="V207" s="13"/>
      <c r="W207" s="13"/>
      <c r="X207" s="13"/>
      <c r="Y207" s="13"/>
      <c r="Z207" s="43">
        <v>2011</v>
      </c>
      <c r="AA207" s="43">
        <v>7</v>
      </c>
      <c r="AB207" s="10"/>
      <c r="AC207" s="10"/>
      <c r="AD207" s="10"/>
      <c r="AE207" s="10"/>
      <c r="AF207" s="10"/>
      <c r="AG207" s="10"/>
      <c r="AH207" s="10"/>
      <c r="AI207" s="10"/>
    </row>
    <row r="208" spans="1:35" ht="12.75">
      <c r="A208" s="8">
        <v>57</v>
      </c>
      <c r="B208" s="40" t="s">
        <v>296</v>
      </c>
      <c r="C208" s="13"/>
      <c r="D208" s="13"/>
      <c r="E208" s="13"/>
      <c r="F208" s="13"/>
      <c r="G208" s="13"/>
      <c r="H208" s="13"/>
      <c r="I208" s="8">
        <v>2</v>
      </c>
      <c r="J208" s="13"/>
      <c r="K208" s="13"/>
      <c r="L208" s="13"/>
      <c r="M208" s="13"/>
      <c r="N208" s="13"/>
      <c r="O208" s="13"/>
      <c r="P208" s="8">
        <v>4</v>
      </c>
      <c r="Q208" s="41">
        <v>0.179554</v>
      </c>
      <c r="R208" s="13"/>
      <c r="S208" s="41">
        <v>0.065297</v>
      </c>
      <c r="T208" s="41">
        <v>0.114257</v>
      </c>
      <c r="U208" s="13"/>
      <c r="V208" s="13"/>
      <c r="W208" s="13"/>
      <c r="X208" s="13"/>
      <c r="Y208" s="13"/>
      <c r="Z208" s="43">
        <v>2011</v>
      </c>
      <c r="AA208" s="43">
        <v>7</v>
      </c>
      <c r="AB208" s="10"/>
      <c r="AC208" s="10"/>
      <c r="AD208" s="10"/>
      <c r="AE208" s="10"/>
      <c r="AF208" s="10"/>
      <c r="AG208" s="10"/>
      <c r="AH208" s="10"/>
      <c r="AI208" s="10"/>
    </row>
    <row r="209" spans="1:35" ht="12.75">
      <c r="A209" s="8">
        <v>58</v>
      </c>
      <c r="B209" s="40" t="s">
        <v>297</v>
      </c>
      <c r="C209" s="13"/>
      <c r="D209" s="13"/>
      <c r="E209" s="13"/>
      <c r="F209" s="13"/>
      <c r="G209" s="13"/>
      <c r="H209" s="13"/>
      <c r="I209" s="8">
        <v>1</v>
      </c>
      <c r="J209" s="13"/>
      <c r="K209" s="13"/>
      <c r="L209" s="13"/>
      <c r="M209" s="13"/>
      <c r="N209" s="13"/>
      <c r="O209" s="13"/>
      <c r="P209" s="8" t="s">
        <v>240</v>
      </c>
      <c r="Q209" s="41">
        <v>0.179554</v>
      </c>
      <c r="R209" s="13"/>
      <c r="S209" s="41">
        <v>0.065297</v>
      </c>
      <c r="T209" s="41">
        <v>0.114257</v>
      </c>
      <c r="U209" s="13"/>
      <c r="V209" s="13"/>
      <c r="W209" s="13"/>
      <c r="X209" s="13"/>
      <c r="Y209" s="13"/>
      <c r="Z209" s="43">
        <v>2011</v>
      </c>
      <c r="AA209" s="43">
        <v>7</v>
      </c>
      <c r="AB209" s="10"/>
      <c r="AC209" s="10"/>
      <c r="AD209" s="10"/>
      <c r="AE209" s="10"/>
      <c r="AF209" s="10"/>
      <c r="AG209" s="10"/>
      <c r="AH209" s="10"/>
      <c r="AI209" s="10"/>
    </row>
    <row r="210" spans="1:35" ht="12.75">
      <c r="A210" s="8">
        <v>59</v>
      </c>
      <c r="B210" s="40" t="s">
        <v>298</v>
      </c>
      <c r="C210" s="13"/>
      <c r="D210" s="13"/>
      <c r="E210" s="13"/>
      <c r="F210" s="13"/>
      <c r="G210" s="13"/>
      <c r="H210" s="13"/>
      <c r="I210" s="8">
        <v>2</v>
      </c>
      <c r="J210" s="13"/>
      <c r="K210" s="13"/>
      <c r="L210" s="13"/>
      <c r="M210" s="13"/>
      <c r="N210" s="13"/>
      <c r="O210" s="13"/>
      <c r="P210" s="8">
        <v>4</v>
      </c>
      <c r="Q210" s="41">
        <v>0.179554</v>
      </c>
      <c r="R210" s="13"/>
      <c r="S210" s="41">
        <v>0.065297</v>
      </c>
      <c r="T210" s="41">
        <v>0.114257</v>
      </c>
      <c r="U210" s="13"/>
      <c r="V210" s="13"/>
      <c r="W210" s="13"/>
      <c r="X210" s="13"/>
      <c r="Y210" s="13"/>
      <c r="Z210" s="43">
        <v>2011</v>
      </c>
      <c r="AA210" s="43">
        <v>7</v>
      </c>
      <c r="AB210" s="10"/>
      <c r="AC210" s="10"/>
      <c r="AD210" s="10"/>
      <c r="AE210" s="10"/>
      <c r="AF210" s="10"/>
      <c r="AG210" s="10"/>
      <c r="AH210" s="10"/>
      <c r="AI210" s="10"/>
    </row>
    <row r="211" spans="1:35" ht="12.75">
      <c r="A211" s="8">
        <v>60</v>
      </c>
      <c r="B211" s="40" t="s">
        <v>299</v>
      </c>
      <c r="C211" s="13"/>
      <c r="D211" s="13"/>
      <c r="E211" s="13"/>
      <c r="F211" s="13"/>
      <c r="G211" s="13"/>
      <c r="H211" s="13"/>
      <c r="I211" s="8">
        <v>2</v>
      </c>
      <c r="J211" s="13"/>
      <c r="K211" s="13"/>
      <c r="L211" s="13"/>
      <c r="M211" s="13"/>
      <c r="N211" s="13"/>
      <c r="O211" s="13"/>
      <c r="P211" s="8">
        <v>1</v>
      </c>
      <c r="Q211" s="41">
        <v>0.179554</v>
      </c>
      <c r="R211" s="13"/>
      <c r="S211" s="41">
        <v>0.065297</v>
      </c>
      <c r="T211" s="41">
        <v>0.114257</v>
      </c>
      <c r="U211" s="13"/>
      <c r="V211" s="13"/>
      <c r="W211" s="13"/>
      <c r="X211" s="13"/>
      <c r="Y211" s="13"/>
      <c r="Z211" s="43">
        <v>2011</v>
      </c>
      <c r="AA211" s="43">
        <v>7</v>
      </c>
      <c r="AB211" s="10"/>
      <c r="AC211" s="10"/>
      <c r="AD211" s="10"/>
      <c r="AE211" s="10"/>
      <c r="AF211" s="10"/>
      <c r="AG211" s="10"/>
      <c r="AH211" s="10"/>
      <c r="AI211" s="10"/>
    </row>
    <row r="212" spans="1:35" ht="12.75">
      <c r="A212" s="8">
        <v>61</v>
      </c>
      <c r="B212" s="40" t="s">
        <v>300</v>
      </c>
      <c r="C212" s="13"/>
      <c r="D212" s="13"/>
      <c r="E212" s="13"/>
      <c r="F212" s="13"/>
      <c r="G212" s="13"/>
      <c r="H212" s="13"/>
      <c r="I212" s="8">
        <v>2</v>
      </c>
      <c r="J212" s="13"/>
      <c r="K212" s="13"/>
      <c r="L212" s="13"/>
      <c r="M212" s="13"/>
      <c r="N212" s="13"/>
      <c r="O212" s="13"/>
      <c r="P212" s="8">
        <v>4</v>
      </c>
      <c r="Q212" s="41">
        <v>0.179554</v>
      </c>
      <c r="R212" s="13"/>
      <c r="S212" s="41">
        <v>0.065297</v>
      </c>
      <c r="T212" s="41">
        <v>0.114257</v>
      </c>
      <c r="U212" s="13"/>
      <c r="V212" s="13"/>
      <c r="W212" s="13"/>
      <c r="X212" s="13"/>
      <c r="Y212" s="13"/>
      <c r="Z212" s="43">
        <v>2011</v>
      </c>
      <c r="AA212" s="43">
        <v>7</v>
      </c>
      <c r="AB212" s="10"/>
      <c r="AC212" s="10"/>
      <c r="AD212" s="10"/>
      <c r="AE212" s="10"/>
      <c r="AF212" s="10"/>
      <c r="AG212" s="10"/>
      <c r="AH212" s="10"/>
      <c r="AI212" s="10"/>
    </row>
    <row r="213" spans="1:35" ht="12.75">
      <c r="A213" s="39" t="s">
        <v>301</v>
      </c>
      <c r="B213" s="17" t="s">
        <v>121</v>
      </c>
      <c r="C213" s="13"/>
      <c r="D213" s="13"/>
      <c r="E213" s="13"/>
      <c r="F213" s="13"/>
      <c r="G213" s="13"/>
      <c r="H213" s="13"/>
      <c r="I213" s="8"/>
      <c r="J213" s="13"/>
      <c r="K213" s="13"/>
      <c r="L213" s="13"/>
      <c r="M213" s="13"/>
      <c r="N213" s="13"/>
      <c r="O213" s="13"/>
      <c r="P213" s="3">
        <v>2</v>
      </c>
      <c r="Q213" s="45">
        <v>0.359108</v>
      </c>
      <c r="R213" s="45"/>
      <c r="S213" s="45">
        <v>0.130594</v>
      </c>
      <c r="T213" s="45">
        <v>0.228514</v>
      </c>
      <c r="U213" s="13"/>
      <c r="V213" s="13"/>
      <c r="W213" s="13"/>
      <c r="X213" s="13"/>
      <c r="Y213" s="13"/>
      <c r="Z213" s="43"/>
      <c r="AA213" s="43"/>
      <c r="AB213" s="10"/>
      <c r="AC213" s="10"/>
      <c r="AD213" s="10"/>
      <c r="AE213" s="10"/>
      <c r="AF213" s="10"/>
      <c r="AG213" s="10"/>
      <c r="AH213" s="10"/>
      <c r="AI213" s="10"/>
    </row>
    <row r="214" spans="1:35" ht="12.75">
      <c r="A214" s="8">
        <v>1</v>
      </c>
      <c r="B214" s="40" t="s">
        <v>302</v>
      </c>
      <c r="C214" s="13"/>
      <c r="D214" s="13"/>
      <c r="E214" s="13"/>
      <c r="F214" s="13"/>
      <c r="G214" s="13"/>
      <c r="H214" s="13"/>
      <c r="I214" s="8">
        <v>1</v>
      </c>
      <c r="J214" s="13"/>
      <c r="K214" s="13"/>
      <c r="L214" s="13"/>
      <c r="M214" s="13"/>
      <c r="N214" s="13"/>
      <c r="O214" s="13"/>
      <c r="P214" s="8">
        <v>1</v>
      </c>
      <c r="Q214" s="41">
        <v>0.179554</v>
      </c>
      <c r="R214" s="13"/>
      <c r="S214" s="41">
        <v>0.065297</v>
      </c>
      <c r="T214" s="41">
        <v>0.114257</v>
      </c>
      <c r="U214" s="13"/>
      <c r="V214" s="13"/>
      <c r="W214" s="13"/>
      <c r="X214" s="13"/>
      <c r="Y214" s="13"/>
      <c r="Z214" s="43">
        <v>2011</v>
      </c>
      <c r="AA214" s="43">
        <v>7</v>
      </c>
      <c r="AB214" s="10"/>
      <c r="AC214" s="10"/>
      <c r="AD214" s="10"/>
      <c r="AE214" s="10"/>
      <c r="AF214" s="10"/>
      <c r="AG214" s="10"/>
      <c r="AH214" s="10"/>
      <c r="AI214" s="10"/>
    </row>
    <row r="215" spans="1:35" ht="12.75">
      <c r="A215" s="8">
        <v>2</v>
      </c>
      <c r="B215" s="17" t="s">
        <v>303</v>
      </c>
      <c r="C215" s="13"/>
      <c r="D215" s="13"/>
      <c r="E215" s="13"/>
      <c r="F215" s="13"/>
      <c r="G215" s="13"/>
      <c r="H215" s="13"/>
      <c r="I215" s="8">
        <v>1</v>
      </c>
      <c r="J215" s="13"/>
      <c r="K215" s="13"/>
      <c r="L215" s="13"/>
      <c r="M215" s="13"/>
      <c r="N215" s="13"/>
      <c r="O215" s="13"/>
      <c r="P215" s="8">
        <v>11</v>
      </c>
      <c r="Q215" s="41">
        <v>0.179554</v>
      </c>
      <c r="R215" s="13"/>
      <c r="S215" s="41">
        <v>0.065297</v>
      </c>
      <c r="T215" s="41">
        <v>0.114257</v>
      </c>
      <c r="U215" s="13"/>
      <c r="V215" s="13"/>
      <c r="W215" s="13"/>
      <c r="X215" s="13"/>
      <c r="Y215" s="13"/>
      <c r="Z215" s="43"/>
      <c r="AA215" s="43"/>
      <c r="AB215" s="10"/>
      <c r="AC215" s="10"/>
      <c r="AD215" s="10"/>
      <c r="AE215" s="10"/>
      <c r="AF215" s="10"/>
      <c r="AG215" s="10"/>
      <c r="AH215" s="10"/>
      <c r="AI215" s="10"/>
    </row>
    <row r="216" spans="1:35" ht="12.75">
      <c r="A216" s="39" t="s">
        <v>304</v>
      </c>
      <c r="B216" s="17" t="s">
        <v>145</v>
      </c>
      <c r="C216" s="13"/>
      <c r="D216" s="13"/>
      <c r="E216" s="13"/>
      <c r="F216" s="13"/>
      <c r="G216" s="13"/>
      <c r="H216" s="13"/>
      <c r="I216" s="8"/>
      <c r="J216" s="13"/>
      <c r="K216" s="13"/>
      <c r="L216" s="13"/>
      <c r="M216" s="13"/>
      <c r="N216" s="13"/>
      <c r="O216" s="13"/>
      <c r="P216" s="3">
        <v>4</v>
      </c>
      <c r="Q216" s="45">
        <v>0.718216</v>
      </c>
      <c r="R216" s="13"/>
      <c r="S216" s="45">
        <v>0.261188</v>
      </c>
      <c r="T216" s="45">
        <v>0.457028</v>
      </c>
      <c r="U216" s="13"/>
      <c r="V216" s="13"/>
      <c r="W216" s="13"/>
      <c r="X216" s="13"/>
      <c r="Y216" s="13"/>
      <c r="Z216" s="43"/>
      <c r="AA216" s="43"/>
      <c r="AB216" s="10"/>
      <c r="AC216" s="10"/>
      <c r="AD216" s="10"/>
      <c r="AE216" s="10"/>
      <c r="AF216" s="10"/>
      <c r="AG216" s="10"/>
      <c r="AH216" s="10"/>
      <c r="AI216" s="10"/>
    </row>
    <row r="217" spans="1:35" ht="12.75">
      <c r="A217" s="8">
        <v>1</v>
      </c>
      <c r="B217" s="40" t="s">
        <v>305</v>
      </c>
      <c r="C217" s="13"/>
      <c r="D217" s="13"/>
      <c r="E217" s="13"/>
      <c r="F217" s="13"/>
      <c r="G217" s="13"/>
      <c r="H217" s="13"/>
      <c r="I217" s="8">
        <v>1</v>
      </c>
      <c r="J217" s="13"/>
      <c r="K217" s="13"/>
      <c r="L217" s="13"/>
      <c r="M217" s="13"/>
      <c r="N217" s="13"/>
      <c r="O217" s="13"/>
      <c r="P217" s="8">
        <v>1</v>
      </c>
      <c r="Q217" s="41">
        <v>0.179554</v>
      </c>
      <c r="R217" s="13"/>
      <c r="S217" s="41">
        <v>0.065297</v>
      </c>
      <c r="T217" s="41">
        <v>0.114257</v>
      </c>
      <c r="U217" s="13"/>
      <c r="V217" s="13"/>
      <c r="W217" s="13"/>
      <c r="X217" s="13"/>
      <c r="Y217" s="13"/>
      <c r="Z217" s="43">
        <v>2011</v>
      </c>
      <c r="AA217" s="43">
        <v>7</v>
      </c>
      <c r="AB217" s="10"/>
      <c r="AC217" s="10"/>
      <c r="AD217" s="10"/>
      <c r="AE217" s="10"/>
      <c r="AF217" s="10"/>
      <c r="AG217" s="10"/>
      <c r="AH217" s="10"/>
      <c r="AI217" s="10"/>
    </row>
    <row r="218" spans="1:35" ht="12.75">
      <c r="A218" s="8">
        <v>2</v>
      </c>
      <c r="B218" s="40" t="s">
        <v>306</v>
      </c>
      <c r="C218" s="13"/>
      <c r="D218" s="13"/>
      <c r="E218" s="13"/>
      <c r="F218" s="13"/>
      <c r="G218" s="13"/>
      <c r="H218" s="13"/>
      <c r="I218" s="8">
        <v>1</v>
      </c>
      <c r="J218" s="13"/>
      <c r="K218" s="13"/>
      <c r="L218" s="13"/>
      <c r="M218" s="13"/>
      <c r="N218" s="13"/>
      <c r="O218" s="13"/>
      <c r="P218" s="8">
        <v>7</v>
      </c>
      <c r="Q218" s="41">
        <v>0.179554</v>
      </c>
      <c r="R218" s="13"/>
      <c r="S218" s="41">
        <v>0.065297</v>
      </c>
      <c r="T218" s="41">
        <v>0.114257</v>
      </c>
      <c r="U218" s="13"/>
      <c r="V218" s="13"/>
      <c r="W218" s="13"/>
      <c r="X218" s="13"/>
      <c r="Y218" s="13"/>
      <c r="Z218" s="43"/>
      <c r="AA218" s="43"/>
      <c r="AB218" s="10"/>
      <c r="AC218" s="10"/>
      <c r="AD218" s="10"/>
      <c r="AE218" s="10"/>
      <c r="AF218" s="10"/>
      <c r="AG218" s="10"/>
      <c r="AH218" s="10"/>
      <c r="AI218" s="10"/>
    </row>
    <row r="219" spans="1:35" ht="12.75">
      <c r="A219" s="8">
        <v>3</v>
      </c>
      <c r="B219" s="40" t="s">
        <v>307</v>
      </c>
      <c r="C219" s="13"/>
      <c r="D219" s="13"/>
      <c r="E219" s="13"/>
      <c r="F219" s="13"/>
      <c r="G219" s="13"/>
      <c r="H219" s="13"/>
      <c r="I219" s="8">
        <v>1</v>
      </c>
      <c r="J219" s="13"/>
      <c r="K219" s="13"/>
      <c r="L219" s="13"/>
      <c r="M219" s="13"/>
      <c r="N219" s="13"/>
      <c r="O219" s="13"/>
      <c r="P219" s="8">
        <v>1</v>
      </c>
      <c r="Q219" s="41">
        <v>0.179554</v>
      </c>
      <c r="R219" s="13"/>
      <c r="S219" s="41">
        <v>0.065297</v>
      </c>
      <c r="T219" s="41">
        <v>0.114257</v>
      </c>
      <c r="U219" s="13"/>
      <c r="V219" s="13"/>
      <c r="W219" s="13"/>
      <c r="X219" s="13"/>
      <c r="Y219" s="13"/>
      <c r="Z219" s="43"/>
      <c r="AA219" s="43"/>
      <c r="AB219" s="10"/>
      <c r="AC219" s="10"/>
      <c r="AD219" s="10"/>
      <c r="AE219" s="10"/>
      <c r="AF219" s="10"/>
      <c r="AG219" s="10"/>
      <c r="AH219" s="10"/>
      <c r="AI219" s="10"/>
    </row>
    <row r="220" spans="1:35" ht="12.75">
      <c r="A220" s="8">
        <v>4</v>
      </c>
      <c r="B220" s="40" t="s">
        <v>308</v>
      </c>
      <c r="C220" s="13"/>
      <c r="D220" s="13"/>
      <c r="E220" s="13"/>
      <c r="F220" s="13"/>
      <c r="G220" s="13"/>
      <c r="H220" s="13"/>
      <c r="I220" s="8">
        <v>1</v>
      </c>
      <c r="J220" s="13"/>
      <c r="K220" s="13"/>
      <c r="L220" s="13"/>
      <c r="M220" s="13"/>
      <c r="N220" s="13"/>
      <c r="O220" s="13"/>
      <c r="P220" s="8">
        <v>9</v>
      </c>
      <c r="Q220" s="41">
        <v>0.179554</v>
      </c>
      <c r="R220" s="13"/>
      <c r="S220" s="41">
        <v>0.065297</v>
      </c>
      <c r="T220" s="41">
        <v>0.114257</v>
      </c>
      <c r="U220" s="13"/>
      <c r="V220" s="13"/>
      <c r="W220" s="13"/>
      <c r="X220" s="13"/>
      <c r="Y220" s="13"/>
      <c r="Z220" s="43"/>
      <c r="AA220" s="43"/>
      <c r="AB220" s="10"/>
      <c r="AC220" s="10"/>
      <c r="AD220" s="10"/>
      <c r="AE220" s="10"/>
      <c r="AF220" s="10"/>
      <c r="AG220" s="10"/>
      <c r="AH220" s="10"/>
      <c r="AI220" s="10"/>
    </row>
    <row r="221" spans="1:35" ht="12.75">
      <c r="A221" s="39" t="s">
        <v>309</v>
      </c>
      <c r="B221" s="17" t="s">
        <v>156</v>
      </c>
      <c r="C221" s="13"/>
      <c r="D221" s="13"/>
      <c r="E221" s="13"/>
      <c r="F221" s="13"/>
      <c r="G221" s="13"/>
      <c r="H221" s="13"/>
      <c r="I221" s="8"/>
      <c r="J221" s="13"/>
      <c r="K221" s="13"/>
      <c r="L221" s="13"/>
      <c r="M221" s="13"/>
      <c r="N221" s="13"/>
      <c r="O221" s="13"/>
      <c r="P221" s="3">
        <v>3</v>
      </c>
      <c r="Q221" s="45">
        <f>S221+T221</f>
        <v>0.538662</v>
      </c>
      <c r="R221" s="13"/>
      <c r="S221" s="45">
        <f>S223*P221</f>
        <v>0.19589099999999998</v>
      </c>
      <c r="T221" s="45">
        <f>T224*P221</f>
        <v>0.342771</v>
      </c>
      <c r="U221" s="13"/>
      <c r="V221" s="13"/>
      <c r="W221" s="13"/>
      <c r="X221" s="13"/>
      <c r="Y221" s="13"/>
      <c r="Z221" s="43"/>
      <c r="AA221" s="43"/>
      <c r="AB221" s="10"/>
      <c r="AC221" s="10"/>
      <c r="AD221" s="10"/>
      <c r="AE221" s="10"/>
      <c r="AF221" s="10"/>
      <c r="AG221" s="10"/>
      <c r="AH221" s="10"/>
      <c r="AI221" s="10"/>
    </row>
    <row r="222" spans="1:35" ht="12.75">
      <c r="A222" s="8">
        <v>1</v>
      </c>
      <c r="B222" s="40" t="s">
        <v>310</v>
      </c>
      <c r="C222" s="13"/>
      <c r="D222" s="13"/>
      <c r="E222" s="13"/>
      <c r="F222" s="13"/>
      <c r="G222" s="13"/>
      <c r="H222" s="13"/>
      <c r="I222" s="8">
        <v>1</v>
      </c>
      <c r="J222" s="13"/>
      <c r="K222" s="13"/>
      <c r="L222" s="13"/>
      <c r="M222" s="13"/>
      <c r="N222" s="13"/>
      <c r="O222" s="13"/>
      <c r="P222" s="8">
        <v>9</v>
      </c>
      <c r="Q222" s="41">
        <v>0.179554</v>
      </c>
      <c r="R222" s="13"/>
      <c r="S222" s="41">
        <v>0.065297</v>
      </c>
      <c r="T222" s="41">
        <v>0.114257</v>
      </c>
      <c r="U222" s="13"/>
      <c r="V222" s="13"/>
      <c r="W222" s="13"/>
      <c r="X222" s="13"/>
      <c r="Y222" s="13"/>
      <c r="Z222" s="43">
        <v>2011</v>
      </c>
      <c r="AA222" s="43">
        <v>7</v>
      </c>
      <c r="AB222" s="10"/>
      <c r="AC222" s="10"/>
      <c r="AD222" s="10"/>
      <c r="AE222" s="10"/>
      <c r="AF222" s="10"/>
      <c r="AG222" s="10"/>
      <c r="AH222" s="10"/>
      <c r="AI222" s="10"/>
    </row>
    <row r="223" spans="1:35" ht="12.75">
      <c r="A223" s="8">
        <v>2</v>
      </c>
      <c r="B223" s="40" t="s">
        <v>311</v>
      </c>
      <c r="C223" s="13"/>
      <c r="D223" s="13"/>
      <c r="E223" s="13"/>
      <c r="F223" s="13"/>
      <c r="G223" s="13"/>
      <c r="H223" s="13"/>
      <c r="I223" s="8">
        <v>1</v>
      </c>
      <c r="J223" s="13"/>
      <c r="K223" s="13"/>
      <c r="L223" s="13"/>
      <c r="M223" s="13"/>
      <c r="N223" s="13"/>
      <c r="O223" s="13"/>
      <c r="P223" s="8">
        <v>2</v>
      </c>
      <c r="Q223" s="41">
        <v>0.179554</v>
      </c>
      <c r="R223" s="13"/>
      <c r="S223" s="41">
        <v>0.065297</v>
      </c>
      <c r="T223" s="41">
        <v>0.114257</v>
      </c>
      <c r="U223" s="13"/>
      <c r="V223" s="13"/>
      <c r="W223" s="13"/>
      <c r="X223" s="13"/>
      <c r="Y223" s="13"/>
      <c r="Z223" s="43"/>
      <c r="AA223" s="43"/>
      <c r="AB223" s="10"/>
      <c r="AC223" s="10"/>
      <c r="AD223" s="10"/>
      <c r="AE223" s="10"/>
      <c r="AF223" s="10"/>
      <c r="AG223" s="10"/>
      <c r="AH223" s="10"/>
      <c r="AI223" s="10"/>
    </row>
    <row r="224" spans="1:35" ht="12.75">
      <c r="A224" s="8">
        <v>3</v>
      </c>
      <c r="B224" s="40" t="s">
        <v>312</v>
      </c>
      <c r="C224" s="13"/>
      <c r="D224" s="13"/>
      <c r="E224" s="13"/>
      <c r="F224" s="13"/>
      <c r="G224" s="13"/>
      <c r="H224" s="13"/>
      <c r="I224" s="8">
        <v>1</v>
      </c>
      <c r="J224" s="13"/>
      <c r="K224" s="13"/>
      <c r="L224" s="13"/>
      <c r="M224" s="13"/>
      <c r="N224" s="13"/>
      <c r="O224" s="13"/>
      <c r="P224" s="8">
        <v>1</v>
      </c>
      <c r="Q224" s="41">
        <v>0.179554</v>
      </c>
      <c r="R224" s="13"/>
      <c r="S224" s="41">
        <v>0.065297</v>
      </c>
      <c r="T224" s="41">
        <v>0.114257</v>
      </c>
      <c r="U224" s="13"/>
      <c r="V224" s="13"/>
      <c r="W224" s="13"/>
      <c r="X224" s="13"/>
      <c r="Y224" s="13"/>
      <c r="Z224" s="43"/>
      <c r="AA224" s="43"/>
      <c r="AB224" s="10"/>
      <c r="AC224" s="10"/>
      <c r="AD224" s="10"/>
      <c r="AE224" s="10"/>
      <c r="AF224" s="10"/>
      <c r="AG224" s="10"/>
      <c r="AH224" s="10"/>
      <c r="AI224" s="10"/>
    </row>
    <row r="225" spans="1:35" ht="12.75">
      <c r="A225" s="8"/>
      <c r="B225" s="40" t="s">
        <v>313</v>
      </c>
      <c r="C225" s="13"/>
      <c r="D225" s="13"/>
      <c r="E225" s="13"/>
      <c r="F225" s="13"/>
      <c r="G225" s="13"/>
      <c r="H225" s="13"/>
      <c r="I225" s="8"/>
      <c r="J225" s="13"/>
      <c r="K225" s="13"/>
      <c r="L225" s="13"/>
      <c r="M225" s="13"/>
      <c r="N225" s="13"/>
      <c r="O225" s="13"/>
      <c r="P225" s="3">
        <f>P221+P216+P151+P213</f>
        <v>70</v>
      </c>
      <c r="Q225" s="45">
        <f>Q221+Q216+Q213+Q151</f>
        <v>12.568779999999999</v>
      </c>
      <c r="R225" s="13"/>
      <c r="S225" s="45">
        <f>S221+S216+S213+S151</f>
        <v>4.57079</v>
      </c>
      <c r="T225" s="45">
        <f>T221+T216+T213+T151</f>
        <v>7.99799</v>
      </c>
      <c r="U225" s="13"/>
      <c r="V225" s="13"/>
      <c r="W225" s="13"/>
      <c r="X225" s="13"/>
      <c r="Y225" s="13"/>
      <c r="Z225" s="43"/>
      <c r="AA225" s="43"/>
      <c r="AB225" s="10"/>
      <c r="AC225" s="10"/>
      <c r="AD225" s="10"/>
      <c r="AE225" s="10"/>
      <c r="AF225" s="10"/>
      <c r="AG225" s="10"/>
      <c r="AH225" s="10"/>
      <c r="AI225" s="10"/>
    </row>
    <row r="226" spans="1:35" ht="12.75">
      <c r="A226" s="39" t="s">
        <v>314</v>
      </c>
      <c r="B226" s="40" t="s">
        <v>315</v>
      </c>
      <c r="C226" s="13"/>
      <c r="D226" s="13"/>
      <c r="E226" s="13"/>
      <c r="F226" s="13"/>
      <c r="G226" s="13"/>
      <c r="H226" s="13"/>
      <c r="I226" s="8"/>
      <c r="J226" s="13"/>
      <c r="K226" s="13"/>
      <c r="L226" s="13"/>
      <c r="M226" s="13"/>
      <c r="N226" s="13"/>
      <c r="O226" s="13"/>
      <c r="P226" s="13"/>
      <c r="Q226" s="48">
        <v>0.52</v>
      </c>
      <c r="R226" s="13"/>
      <c r="S226" s="41">
        <v>0.05</v>
      </c>
      <c r="T226" s="48">
        <v>0.47</v>
      </c>
      <c r="U226" s="13"/>
      <c r="V226" s="13"/>
      <c r="W226" s="13"/>
      <c r="X226" s="13"/>
      <c r="Y226" s="13"/>
      <c r="Z226" s="43">
        <v>2011</v>
      </c>
      <c r="AA226" s="43">
        <v>7</v>
      </c>
      <c r="AB226" s="10"/>
      <c r="AC226" s="10"/>
      <c r="AD226" s="10"/>
      <c r="AE226" s="10"/>
      <c r="AF226" s="10"/>
      <c r="AG226" s="10"/>
      <c r="AH226" s="10"/>
      <c r="AI226" s="10"/>
    </row>
    <row r="227" spans="1:35" ht="12.75">
      <c r="A227" s="39" t="s">
        <v>316</v>
      </c>
      <c r="B227" s="40" t="s">
        <v>317</v>
      </c>
      <c r="C227" s="13"/>
      <c r="D227" s="13"/>
      <c r="E227" s="13"/>
      <c r="F227" s="13"/>
      <c r="G227" s="13"/>
      <c r="H227" s="13"/>
      <c r="I227" s="8"/>
      <c r="J227" s="13"/>
      <c r="K227" s="13"/>
      <c r="L227" s="13"/>
      <c r="M227" s="13"/>
      <c r="N227" s="13"/>
      <c r="O227" s="13"/>
      <c r="P227" s="13"/>
      <c r="Q227" s="48">
        <v>0.21</v>
      </c>
      <c r="R227" s="13"/>
      <c r="S227" s="41">
        <v>0.01</v>
      </c>
      <c r="T227" s="48">
        <v>0.2</v>
      </c>
      <c r="U227" s="13"/>
      <c r="V227" s="13"/>
      <c r="W227" s="13"/>
      <c r="X227" s="13"/>
      <c r="Y227" s="13"/>
      <c r="Z227" s="43">
        <v>2011</v>
      </c>
      <c r="AA227" s="43">
        <v>7</v>
      </c>
      <c r="AB227" s="10"/>
      <c r="AC227" s="10"/>
      <c r="AD227" s="10"/>
      <c r="AE227" s="10"/>
      <c r="AF227" s="10"/>
      <c r="AG227" s="10"/>
      <c r="AH227" s="10"/>
      <c r="AI227" s="10"/>
    </row>
    <row r="228" spans="1:35" ht="12.75">
      <c r="A228" s="39" t="s">
        <v>318</v>
      </c>
      <c r="B228" s="40" t="s">
        <v>319</v>
      </c>
      <c r="C228" s="13"/>
      <c r="D228" s="13"/>
      <c r="E228" s="13"/>
      <c r="F228" s="13"/>
      <c r="G228" s="13"/>
      <c r="H228" s="13"/>
      <c r="I228" s="8"/>
      <c r="J228" s="13"/>
      <c r="K228" s="13"/>
      <c r="L228" s="13"/>
      <c r="M228" s="13"/>
      <c r="N228" s="13"/>
      <c r="O228" s="13"/>
      <c r="P228" s="13"/>
      <c r="Q228" s="48">
        <v>0.42</v>
      </c>
      <c r="R228" s="13"/>
      <c r="S228" s="13">
        <v>0</v>
      </c>
      <c r="T228" s="48">
        <v>0.42</v>
      </c>
      <c r="U228" s="13"/>
      <c r="V228" s="13"/>
      <c r="W228" s="13"/>
      <c r="X228" s="13"/>
      <c r="Y228" s="13"/>
      <c r="Z228" s="43">
        <v>2011</v>
      </c>
      <c r="AA228" s="43">
        <v>7</v>
      </c>
      <c r="AB228" s="10"/>
      <c r="AC228" s="10"/>
      <c r="AD228" s="10"/>
      <c r="AE228" s="10"/>
      <c r="AF228" s="10"/>
      <c r="AG228" s="10"/>
      <c r="AH228" s="10"/>
      <c r="AI228" s="10"/>
    </row>
    <row r="229" spans="1:35" ht="12.75">
      <c r="A229" s="39"/>
      <c r="B229" s="40" t="s">
        <v>320</v>
      </c>
      <c r="C229" s="13"/>
      <c r="D229" s="13"/>
      <c r="E229" s="13"/>
      <c r="F229" s="13"/>
      <c r="G229" s="13"/>
      <c r="H229" s="13"/>
      <c r="I229" s="8"/>
      <c r="J229" s="13"/>
      <c r="K229" s="13"/>
      <c r="L229" s="13"/>
      <c r="M229" s="13"/>
      <c r="N229" s="13"/>
      <c r="O229" s="13"/>
      <c r="P229" s="13"/>
      <c r="Q229" s="47">
        <v>1.15</v>
      </c>
      <c r="R229" s="13"/>
      <c r="S229" s="47">
        <v>0.06</v>
      </c>
      <c r="T229" s="47">
        <v>1.09</v>
      </c>
      <c r="U229" s="13"/>
      <c r="V229" s="13"/>
      <c r="W229" s="13"/>
      <c r="X229" s="13"/>
      <c r="Y229" s="13"/>
      <c r="Z229" s="43"/>
      <c r="AA229" s="43"/>
      <c r="AB229" s="10"/>
      <c r="AC229" s="10"/>
      <c r="AD229" s="10"/>
      <c r="AE229" s="10"/>
      <c r="AF229" s="10"/>
      <c r="AG229" s="10"/>
      <c r="AH229" s="10"/>
      <c r="AI229" s="10"/>
    </row>
    <row r="230" spans="1:35" ht="12.75">
      <c r="A230" s="3" t="s">
        <v>321</v>
      </c>
      <c r="B230" s="17" t="s">
        <v>322</v>
      </c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10"/>
      <c r="R230" s="10"/>
      <c r="S230" s="10"/>
      <c r="T230" s="10"/>
      <c r="U230" s="13"/>
      <c r="V230" s="3"/>
      <c r="W230" s="3"/>
      <c r="X230" s="3"/>
      <c r="Y230" s="3"/>
      <c r="Z230" s="43"/>
      <c r="AA230" s="10"/>
      <c r="AB230" s="10"/>
      <c r="AC230" s="10"/>
      <c r="AD230" s="10"/>
      <c r="AE230" s="10"/>
      <c r="AF230" s="10"/>
      <c r="AG230" s="10"/>
      <c r="AH230" s="10"/>
      <c r="AI230" s="10"/>
    </row>
    <row r="231" spans="1:35" ht="12.75">
      <c r="A231" s="8">
        <v>1</v>
      </c>
      <c r="B231" s="13" t="s">
        <v>323</v>
      </c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</row>
    <row r="232" spans="1:35" ht="12.75">
      <c r="A232" s="8">
        <v>2</v>
      </c>
      <c r="B232" s="13" t="s">
        <v>324</v>
      </c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</row>
    <row r="233" spans="1:35" ht="12.75">
      <c r="A233" s="8" t="s">
        <v>325</v>
      </c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</row>
    <row r="234" spans="1:35" ht="12.75">
      <c r="A234" s="3" t="s">
        <v>326</v>
      </c>
      <c r="B234" s="3" t="s">
        <v>327</v>
      </c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</row>
    <row r="235" spans="1:35" ht="12.75">
      <c r="A235" s="11" t="s">
        <v>328</v>
      </c>
      <c r="B235" s="3" t="s">
        <v>32</v>
      </c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</row>
    <row r="236" spans="1:35" ht="12.75">
      <c r="A236" s="49" t="s">
        <v>329</v>
      </c>
      <c r="B236" s="50" t="s">
        <v>330</v>
      </c>
      <c r="C236" s="3"/>
      <c r="D236" s="3"/>
      <c r="E236" s="3"/>
      <c r="F236" s="3"/>
      <c r="G236" s="3"/>
      <c r="H236" s="3"/>
      <c r="I236" s="3"/>
      <c r="J236" s="24"/>
      <c r="K236" s="3"/>
      <c r="L236" s="3"/>
      <c r="M236" s="3"/>
      <c r="N236" s="3"/>
      <c r="O236" s="3"/>
      <c r="P236" s="3"/>
      <c r="Q236" s="3">
        <f>SUM(R236:U236)</f>
        <v>4.478999999999999</v>
      </c>
      <c r="R236" s="3">
        <v>0.015</v>
      </c>
      <c r="S236" s="3">
        <v>1.341</v>
      </c>
      <c r="T236" s="3">
        <v>3.092</v>
      </c>
      <c r="U236" s="3">
        <v>0.031</v>
      </c>
      <c r="V236" s="3"/>
      <c r="W236" s="3"/>
      <c r="X236" s="3"/>
      <c r="Y236" s="3"/>
      <c r="Z236" s="51">
        <v>2011</v>
      </c>
      <c r="AA236" s="51">
        <v>20</v>
      </c>
      <c r="AB236" s="3" t="s">
        <v>331</v>
      </c>
      <c r="AC236" s="24">
        <v>0.45</v>
      </c>
      <c r="AD236" s="51">
        <v>2011</v>
      </c>
      <c r="AE236" s="51">
        <v>50</v>
      </c>
      <c r="AF236" s="51">
        <v>0</v>
      </c>
      <c r="AG236" s="52" t="s">
        <v>332</v>
      </c>
      <c r="AH236" s="3">
        <v>0.68</v>
      </c>
      <c r="AI236" s="10"/>
    </row>
    <row r="237" spans="1:35" ht="12.75">
      <c r="A237" s="49" t="s">
        <v>333</v>
      </c>
      <c r="B237" s="50" t="s">
        <v>334</v>
      </c>
      <c r="C237" s="3"/>
      <c r="D237" s="3"/>
      <c r="E237" s="3"/>
      <c r="F237" s="3"/>
      <c r="G237" s="3"/>
      <c r="H237" s="3"/>
      <c r="I237" s="3"/>
      <c r="J237" s="24"/>
      <c r="K237" s="3"/>
      <c r="L237" s="3"/>
      <c r="M237" s="3"/>
      <c r="N237" s="3"/>
      <c r="O237" s="3"/>
      <c r="P237" s="3"/>
      <c r="Q237" s="3">
        <v>0.292</v>
      </c>
      <c r="R237" s="3">
        <v>0.015</v>
      </c>
      <c r="S237" s="3">
        <v>0.158</v>
      </c>
      <c r="T237" s="3">
        <v>0.111</v>
      </c>
      <c r="U237" s="3">
        <v>0.008</v>
      </c>
      <c r="V237" s="3"/>
      <c r="W237" s="3"/>
      <c r="X237" s="3"/>
      <c r="Y237" s="3"/>
      <c r="Z237" s="51">
        <v>2011</v>
      </c>
      <c r="AA237" s="3">
        <v>0</v>
      </c>
      <c r="AB237" s="3">
        <v>0</v>
      </c>
      <c r="AC237" s="24">
        <v>0.108</v>
      </c>
      <c r="AD237" s="51">
        <v>2011</v>
      </c>
      <c r="AE237" s="51">
        <v>50</v>
      </c>
      <c r="AF237" s="51">
        <v>0</v>
      </c>
      <c r="AG237" s="52" t="s">
        <v>59</v>
      </c>
      <c r="AH237" s="3">
        <v>0.8</v>
      </c>
      <c r="AI237" s="10"/>
    </row>
    <row r="238" spans="1:35" ht="12.75">
      <c r="A238" s="49" t="s">
        <v>335</v>
      </c>
      <c r="B238" s="50" t="s">
        <v>336</v>
      </c>
      <c r="C238" s="3"/>
      <c r="D238" s="3"/>
      <c r="E238" s="3"/>
      <c r="F238" s="3"/>
      <c r="G238" s="3"/>
      <c r="H238" s="3"/>
      <c r="I238" s="3"/>
      <c r="J238" s="24"/>
      <c r="K238" s="3"/>
      <c r="L238" s="3"/>
      <c r="M238" s="3"/>
      <c r="N238" s="3"/>
      <c r="O238" s="3"/>
      <c r="P238" s="3"/>
      <c r="Q238" s="3">
        <v>4.255</v>
      </c>
      <c r="R238" s="3">
        <v>0.015</v>
      </c>
      <c r="S238" s="3">
        <v>1.294</v>
      </c>
      <c r="T238" s="3">
        <v>2.913</v>
      </c>
      <c r="U238" s="3">
        <v>0.033</v>
      </c>
      <c r="V238" s="3"/>
      <c r="W238" s="3"/>
      <c r="X238" s="3"/>
      <c r="Y238" s="3"/>
      <c r="Z238" s="51">
        <v>2011</v>
      </c>
      <c r="AA238" s="51">
        <v>20</v>
      </c>
      <c r="AB238" s="3" t="s">
        <v>331</v>
      </c>
      <c r="AC238" s="24">
        <v>0.642</v>
      </c>
      <c r="AD238" s="51">
        <v>2011</v>
      </c>
      <c r="AE238" s="51">
        <v>50</v>
      </c>
      <c r="AF238" s="51">
        <v>0</v>
      </c>
      <c r="AG238" s="52" t="s">
        <v>337</v>
      </c>
      <c r="AH238" s="3" t="s">
        <v>338</v>
      </c>
      <c r="AI238" s="10"/>
    </row>
    <row r="239" spans="1:35" ht="12.75">
      <c r="A239" s="49" t="s">
        <v>339</v>
      </c>
      <c r="B239" s="50" t="s">
        <v>340</v>
      </c>
      <c r="C239" s="3"/>
      <c r="D239" s="3"/>
      <c r="E239" s="3"/>
      <c r="F239" s="3"/>
      <c r="G239" s="3"/>
      <c r="H239" s="3"/>
      <c r="I239" s="3"/>
      <c r="J239" s="24"/>
      <c r="K239" s="3"/>
      <c r="L239" s="3"/>
      <c r="M239" s="3"/>
      <c r="N239" s="3"/>
      <c r="O239" s="3"/>
      <c r="P239" s="3"/>
      <c r="Q239" s="3">
        <v>4.449</v>
      </c>
      <c r="R239" s="3">
        <v>0.015</v>
      </c>
      <c r="S239" s="3">
        <v>1.254</v>
      </c>
      <c r="T239" s="3">
        <v>3.148</v>
      </c>
      <c r="U239" s="3">
        <v>0.032</v>
      </c>
      <c r="V239" s="3"/>
      <c r="W239" s="3"/>
      <c r="X239" s="3"/>
      <c r="Y239" s="3"/>
      <c r="Z239" s="51">
        <v>2011</v>
      </c>
      <c r="AA239" s="51">
        <v>20</v>
      </c>
      <c r="AB239" s="3" t="s">
        <v>341</v>
      </c>
      <c r="AC239" s="24">
        <v>0.29</v>
      </c>
      <c r="AD239" s="51">
        <v>2011</v>
      </c>
      <c r="AE239" s="51">
        <v>50</v>
      </c>
      <c r="AF239" s="51">
        <v>0</v>
      </c>
      <c r="AG239" s="53" t="s">
        <v>337</v>
      </c>
      <c r="AH239" s="54" t="s">
        <v>342</v>
      </c>
      <c r="AI239" s="10"/>
    </row>
    <row r="240" spans="1:35" ht="12.75">
      <c r="A240" s="49" t="s">
        <v>343</v>
      </c>
      <c r="B240" s="55" t="s">
        <v>344</v>
      </c>
      <c r="C240" s="3"/>
      <c r="D240" s="3"/>
      <c r="E240" s="3"/>
      <c r="F240" s="3"/>
      <c r="G240" s="3"/>
      <c r="H240" s="3"/>
      <c r="I240" s="3"/>
      <c r="J240" s="24"/>
      <c r="K240" s="3"/>
      <c r="L240" s="3"/>
      <c r="M240" s="3"/>
      <c r="N240" s="3"/>
      <c r="O240" s="3"/>
      <c r="P240" s="3"/>
      <c r="Q240" s="3">
        <v>6.865</v>
      </c>
      <c r="R240" s="3">
        <v>0.015</v>
      </c>
      <c r="S240" s="3">
        <v>1.705</v>
      </c>
      <c r="T240" s="3">
        <v>5.11</v>
      </c>
      <c r="U240" s="3">
        <v>0.035</v>
      </c>
      <c r="V240" s="3"/>
      <c r="W240" s="3"/>
      <c r="X240" s="3"/>
      <c r="Y240" s="3"/>
      <c r="Z240" s="56">
        <v>2011</v>
      </c>
      <c r="AA240" s="51">
        <v>20</v>
      </c>
      <c r="AB240" s="3" t="s">
        <v>331</v>
      </c>
      <c r="AC240" s="24">
        <v>0.232</v>
      </c>
      <c r="AD240" s="51">
        <v>2011</v>
      </c>
      <c r="AE240" s="51">
        <v>50</v>
      </c>
      <c r="AF240" s="51">
        <v>0</v>
      </c>
      <c r="AG240" s="53" t="s">
        <v>345</v>
      </c>
      <c r="AH240" s="54" t="s">
        <v>346</v>
      </c>
      <c r="AI240" s="57"/>
    </row>
    <row r="241" spans="1:35" ht="12.75">
      <c r="A241" s="58" t="s">
        <v>347</v>
      </c>
      <c r="B241" s="59" t="s">
        <v>348</v>
      </c>
      <c r="C241" s="60"/>
      <c r="D241" s="60"/>
      <c r="E241" s="60"/>
      <c r="F241" s="60"/>
      <c r="G241" s="60"/>
      <c r="H241" s="60"/>
      <c r="I241" s="60"/>
      <c r="J241" s="61"/>
      <c r="K241" s="60"/>
      <c r="L241" s="60"/>
      <c r="M241" s="60"/>
      <c r="N241" s="60"/>
      <c r="O241" s="60"/>
      <c r="P241" s="60"/>
      <c r="Q241" s="3">
        <v>5.73</v>
      </c>
      <c r="R241" s="60">
        <v>0.015</v>
      </c>
      <c r="S241" s="60">
        <v>1.771</v>
      </c>
      <c r="T241" s="60">
        <v>3.893</v>
      </c>
      <c r="U241" s="60">
        <v>0.051</v>
      </c>
      <c r="V241" s="60"/>
      <c r="W241" s="60"/>
      <c r="X241" s="60"/>
      <c r="Y241" s="60"/>
      <c r="Z241" s="62">
        <v>2011</v>
      </c>
      <c r="AA241" s="62">
        <v>20</v>
      </c>
      <c r="AB241" s="60" t="s">
        <v>331</v>
      </c>
      <c r="AC241" s="61">
        <v>0.543</v>
      </c>
      <c r="AD241" s="62">
        <v>2011</v>
      </c>
      <c r="AE241" s="62">
        <v>50</v>
      </c>
      <c r="AF241" s="62">
        <v>0</v>
      </c>
      <c r="AG241" s="63" t="s">
        <v>337</v>
      </c>
      <c r="AH241" s="64" t="s">
        <v>349</v>
      </c>
      <c r="AI241" s="65"/>
    </row>
    <row r="242" spans="1:35" ht="12.75">
      <c r="A242" s="49" t="s">
        <v>350</v>
      </c>
      <c r="B242" s="50" t="s">
        <v>351</v>
      </c>
      <c r="C242" s="3"/>
      <c r="D242" s="3"/>
      <c r="E242" s="3"/>
      <c r="F242" s="3"/>
      <c r="G242" s="3"/>
      <c r="H242" s="3"/>
      <c r="I242" s="3"/>
      <c r="J242" s="24"/>
      <c r="K242" s="3"/>
      <c r="L242" s="3"/>
      <c r="M242" s="3"/>
      <c r="N242" s="3"/>
      <c r="O242" s="3"/>
      <c r="P242" s="3"/>
      <c r="Q242" s="3">
        <v>1.966</v>
      </c>
      <c r="R242" s="3">
        <v>0.015</v>
      </c>
      <c r="S242" s="3">
        <v>0.478</v>
      </c>
      <c r="T242" s="3">
        <v>1.422</v>
      </c>
      <c r="U242" s="3">
        <v>0.051</v>
      </c>
      <c r="V242" s="3"/>
      <c r="W242" s="3"/>
      <c r="X242" s="3"/>
      <c r="Y242" s="3"/>
      <c r="Z242" s="51">
        <v>2011</v>
      </c>
      <c r="AA242" s="51">
        <v>20</v>
      </c>
      <c r="AB242" s="3" t="s">
        <v>352</v>
      </c>
      <c r="AC242" s="24">
        <v>0.4</v>
      </c>
      <c r="AD242" s="51">
        <v>2011</v>
      </c>
      <c r="AE242" s="51">
        <v>50</v>
      </c>
      <c r="AF242" s="3" t="s">
        <v>353</v>
      </c>
      <c r="AG242" s="52" t="s">
        <v>354</v>
      </c>
      <c r="AH242" s="3" t="s">
        <v>355</v>
      </c>
      <c r="AI242" s="10"/>
    </row>
    <row r="243" spans="1:35" ht="12.75">
      <c r="A243" s="49" t="s">
        <v>356</v>
      </c>
      <c r="B243" s="50" t="s">
        <v>357</v>
      </c>
      <c r="C243" s="3"/>
      <c r="D243" s="3"/>
      <c r="E243" s="3"/>
      <c r="F243" s="3"/>
      <c r="G243" s="3"/>
      <c r="H243" s="3"/>
      <c r="I243" s="3"/>
      <c r="J243" s="24"/>
      <c r="K243" s="3"/>
      <c r="L243" s="3"/>
      <c r="M243" s="3"/>
      <c r="N243" s="3"/>
      <c r="O243" s="3"/>
      <c r="P243" s="3"/>
      <c r="Q243" s="3">
        <v>4.259</v>
      </c>
      <c r="R243" s="3">
        <v>0.015</v>
      </c>
      <c r="S243" s="3">
        <v>2.637</v>
      </c>
      <c r="T243" s="3">
        <v>1.577</v>
      </c>
      <c r="U243" s="3">
        <v>0.03</v>
      </c>
      <c r="V243" s="3"/>
      <c r="W243" s="3"/>
      <c r="X243" s="3"/>
      <c r="Y243" s="3"/>
      <c r="Z243" s="51">
        <v>2011</v>
      </c>
      <c r="AA243" s="51">
        <v>20</v>
      </c>
      <c r="AB243" s="3" t="s">
        <v>358</v>
      </c>
      <c r="AC243" s="24">
        <v>0.318</v>
      </c>
      <c r="AD243" s="51">
        <v>2011</v>
      </c>
      <c r="AE243" s="51">
        <v>50</v>
      </c>
      <c r="AF243" s="51">
        <v>0</v>
      </c>
      <c r="AG243" s="52" t="s">
        <v>359</v>
      </c>
      <c r="AH243" s="3" t="s">
        <v>360</v>
      </c>
      <c r="AI243" s="10"/>
    </row>
    <row r="244" spans="1:35" ht="12.75">
      <c r="A244" s="49" t="s">
        <v>361</v>
      </c>
      <c r="B244" s="50" t="s">
        <v>362</v>
      </c>
      <c r="C244" s="3"/>
      <c r="D244" s="3"/>
      <c r="E244" s="3"/>
      <c r="F244" s="3"/>
      <c r="G244" s="3"/>
      <c r="H244" s="3"/>
      <c r="I244" s="3"/>
      <c r="J244" s="24"/>
      <c r="K244" s="3"/>
      <c r="L244" s="3"/>
      <c r="M244" s="3"/>
      <c r="N244" s="3"/>
      <c r="O244" s="3"/>
      <c r="P244" s="3"/>
      <c r="Q244" s="3">
        <v>1.64</v>
      </c>
      <c r="R244" s="3">
        <v>0.015</v>
      </c>
      <c r="S244" s="3">
        <v>0.42</v>
      </c>
      <c r="T244" s="3">
        <v>1.172</v>
      </c>
      <c r="U244" s="3">
        <v>0.033</v>
      </c>
      <c r="V244" s="3"/>
      <c r="W244" s="3"/>
      <c r="X244" s="3"/>
      <c r="Y244" s="3"/>
      <c r="Z244" s="51">
        <v>2011</v>
      </c>
      <c r="AA244" s="51">
        <v>20</v>
      </c>
      <c r="AB244" s="3" t="s">
        <v>331</v>
      </c>
      <c r="AC244" s="24">
        <v>0.215</v>
      </c>
      <c r="AD244" s="51">
        <v>2011</v>
      </c>
      <c r="AE244" s="51">
        <v>50</v>
      </c>
      <c r="AF244" s="51">
        <v>0</v>
      </c>
      <c r="AG244" s="52" t="s">
        <v>363</v>
      </c>
      <c r="AH244" s="3">
        <v>0.93</v>
      </c>
      <c r="AI244" s="10"/>
    </row>
    <row r="245" spans="1:35" ht="12.75">
      <c r="A245" s="66" t="s">
        <v>364</v>
      </c>
      <c r="B245" s="67" t="s">
        <v>365</v>
      </c>
      <c r="C245" s="68"/>
      <c r="D245" s="68"/>
      <c r="E245" s="68"/>
      <c r="F245" s="68"/>
      <c r="G245" s="68"/>
      <c r="H245" s="68"/>
      <c r="I245" s="68"/>
      <c r="J245" s="69"/>
      <c r="K245" s="68"/>
      <c r="L245" s="68"/>
      <c r="M245" s="70"/>
      <c r="N245" s="68"/>
      <c r="O245" s="68"/>
      <c r="P245" s="68"/>
      <c r="Q245" s="3">
        <v>0.718</v>
      </c>
      <c r="R245" s="68">
        <v>0.015</v>
      </c>
      <c r="S245" s="68">
        <v>0.284</v>
      </c>
      <c r="T245" s="68">
        <v>0.416</v>
      </c>
      <c r="U245" s="68">
        <v>0.003</v>
      </c>
      <c r="V245" s="68"/>
      <c r="W245" s="68"/>
      <c r="X245" s="68"/>
      <c r="Y245" s="68"/>
      <c r="Z245" s="71">
        <v>2011</v>
      </c>
      <c r="AA245" s="71">
        <v>0</v>
      </c>
      <c r="AB245" s="71">
        <v>0</v>
      </c>
      <c r="AC245" s="69">
        <v>0.063</v>
      </c>
      <c r="AD245" s="71">
        <v>2011</v>
      </c>
      <c r="AE245" s="71">
        <v>50</v>
      </c>
      <c r="AF245" s="72">
        <v>0</v>
      </c>
      <c r="AG245" s="73" t="s">
        <v>59</v>
      </c>
      <c r="AH245" s="68">
        <v>0.22</v>
      </c>
      <c r="AI245" s="74"/>
    </row>
    <row r="246" spans="1:35" ht="12.75">
      <c r="A246" s="49" t="s">
        <v>366</v>
      </c>
      <c r="B246" s="50" t="s">
        <v>367</v>
      </c>
      <c r="C246" s="3"/>
      <c r="D246" s="3"/>
      <c r="E246" s="3"/>
      <c r="F246" s="3"/>
      <c r="G246" s="3"/>
      <c r="H246" s="3"/>
      <c r="I246" s="3"/>
      <c r="J246" s="24"/>
      <c r="K246" s="3"/>
      <c r="L246" s="3"/>
      <c r="M246" s="75"/>
      <c r="N246" s="3"/>
      <c r="O246" s="3"/>
      <c r="P246" s="3"/>
      <c r="Q246" s="3">
        <v>0.065</v>
      </c>
      <c r="R246" s="3">
        <v>0.015</v>
      </c>
      <c r="S246" s="3">
        <v>0.016</v>
      </c>
      <c r="T246" s="3">
        <v>0.033</v>
      </c>
      <c r="U246" s="3">
        <v>0.001</v>
      </c>
      <c r="V246" s="3"/>
      <c r="W246" s="3"/>
      <c r="X246" s="3"/>
      <c r="Y246" s="3"/>
      <c r="Z246" s="51">
        <v>2011</v>
      </c>
      <c r="AA246" s="51">
        <v>0</v>
      </c>
      <c r="AB246" s="51">
        <v>0</v>
      </c>
      <c r="AC246" s="24">
        <v>0.025</v>
      </c>
      <c r="AD246" s="51">
        <v>2011</v>
      </c>
      <c r="AE246" s="51">
        <v>50</v>
      </c>
      <c r="AF246" s="62">
        <v>0</v>
      </c>
      <c r="AG246" s="52" t="s">
        <v>368</v>
      </c>
      <c r="AH246" s="3">
        <v>0.07</v>
      </c>
      <c r="AI246" s="10"/>
    </row>
    <row r="247" spans="1:35" ht="12.75">
      <c r="A247" s="49" t="s">
        <v>369</v>
      </c>
      <c r="B247" s="50" t="s">
        <v>370</v>
      </c>
      <c r="C247" s="3"/>
      <c r="D247" s="3"/>
      <c r="E247" s="3"/>
      <c r="F247" s="3"/>
      <c r="G247" s="3"/>
      <c r="H247" s="3"/>
      <c r="I247" s="3"/>
      <c r="J247" s="24"/>
      <c r="K247" s="3"/>
      <c r="L247" s="3"/>
      <c r="M247" s="75"/>
      <c r="N247" s="3"/>
      <c r="O247" s="3"/>
      <c r="P247" s="3"/>
      <c r="Q247" s="3">
        <v>7.454</v>
      </c>
      <c r="R247" s="3">
        <v>0.015</v>
      </c>
      <c r="S247" s="3">
        <v>2.954</v>
      </c>
      <c r="T247" s="3">
        <v>4.383</v>
      </c>
      <c r="U247" s="3">
        <v>0.102</v>
      </c>
      <c r="V247" s="3"/>
      <c r="W247" s="3"/>
      <c r="X247" s="3"/>
      <c r="Y247" s="3"/>
      <c r="Z247" s="51"/>
      <c r="AA247" s="51"/>
      <c r="AB247" s="51"/>
      <c r="AC247" s="24"/>
      <c r="AD247" s="51">
        <v>2011</v>
      </c>
      <c r="AE247" s="51">
        <v>50</v>
      </c>
      <c r="AF247" s="3" t="s">
        <v>353</v>
      </c>
      <c r="AG247" s="52" t="s">
        <v>371</v>
      </c>
      <c r="AH247" s="3" t="s">
        <v>372</v>
      </c>
      <c r="AI247" s="10"/>
    </row>
    <row r="248" spans="1:35" ht="12.75">
      <c r="A248" s="11"/>
      <c r="B248" s="76" t="s">
        <v>47</v>
      </c>
      <c r="C248" s="3"/>
      <c r="D248" s="3"/>
      <c r="E248" s="3"/>
      <c r="F248" s="3"/>
      <c r="G248" s="3"/>
      <c r="H248" s="3"/>
      <c r="I248" s="3"/>
      <c r="J248" s="24"/>
      <c r="K248" s="3"/>
      <c r="L248" s="3"/>
      <c r="M248" s="75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56"/>
      <c r="AA248" s="57"/>
      <c r="AB248" s="3"/>
      <c r="AC248" s="24"/>
      <c r="AD248" s="57"/>
      <c r="AE248" s="57"/>
      <c r="AF248" s="57"/>
      <c r="AG248" s="57"/>
      <c r="AH248" s="77"/>
      <c r="AI248" s="57"/>
    </row>
    <row r="249" spans="1:35" ht="12.75">
      <c r="A249" s="49" t="s">
        <v>369</v>
      </c>
      <c r="B249" s="50" t="s">
        <v>373</v>
      </c>
      <c r="C249" s="3"/>
      <c r="D249" s="3"/>
      <c r="E249" s="3"/>
      <c r="F249" s="3"/>
      <c r="G249" s="3"/>
      <c r="H249" s="3"/>
      <c r="I249" s="3"/>
      <c r="J249" s="24"/>
      <c r="K249" s="3"/>
      <c r="L249" s="3"/>
      <c r="M249" s="75"/>
      <c r="N249" s="3"/>
      <c r="O249" s="3"/>
      <c r="P249" s="3"/>
      <c r="Q249" s="3">
        <v>4.096</v>
      </c>
      <c r="R249" s="3">
        <v>0.015</v>
      </c>
      <c r="S249" s="3">
        <v>1.007</v>
      </c>
      <c r="T249" s="3">
        <v>2.995</v>
      </c>
      <c r="U249" s="3">
        <v>0.079</v>
      </c>
      <c r="V249" s="3"/>
      <c r="W249" s="3"/>
      <c r="X249" s="3"/>
      <c r="Y249" s="3"/>
      <c r="Z249" s="51">
        <v>2011</v>
      </c>
      <c r="AA249" s="51">
        <v>20</v>
      </c>
      <c r="AB249" s="3" t="s">
        <v>374</v>
      </c>
      <c r="AC249" s="24">
        <v>0.46</v>
      </c>
      <c r="AD249" s="51">
        <v>2011</v>
      </c>
      <c r="AE249" s="51">
        <v>50</v>
      </c>
      <c r="AF249" s="3" t="s">
        <v>353</v>
      </c>
      <c r="AG249" s="52" t="s">
        <v>375</v>
      </c>
      <c r="AH249" s="3" t="s">
        <v>376</v>
      </c>
      <c r="AI249" s="10"/>
    </row>
    <row r="250" spans="1:35" ht="12.75">
      <c r="A250" s="49" t="s">
        <v>377</v>
      </c>
      <c r="B250" s="50" t="s">
        <v>378</v>
      </c>
      <c r="C250" s="3"/>
      <c r="D250" s="3"/>
      <c r="E250" s="3"/>
      <c r="F250" s="3"/>
      <c r="G250" s="3"/>
      <c r="H250" s="3"/>
      <c r="I250" s="3"/>
      <c r="J250" s="24"/>
      <c r="K250" s="3"/>
      <c r="L250" s="3"/>
      <c r="M250" s="3"/>
      <c r="N250" s="3"/>
      <c r="O250" s="3"/>
      <c r="P250" s="3"/>
      <c r="Q250" s="3">
        <v>3.878</v>
      </c>
      <c r="R250" s="3">
        <v>0.015</v>
      </c>
      <c r="S250" s="3">
        <v>1.185</v>
      </c>
      <c r="T250" s="3">
        <v>2.632</v>
      </c>
      <c r="U250" s="3">
        <v>0.046</v>
      </c>
      <c r="V250" s="3"/>
      <c r="W250" s="3"/>
      <c r="X250" s="3"/>
      <c r="Y250" s="3"/>
      <c r="Z250" s="51">
        <v>2011</v>
      </c>
      <c r="AA250" s="51">
        <v>20</v>
      </c>
      <c r="AB250" s="3" t="s">
        <v>379</v>
      </c>
      <c r="AC250" s="24">
        <v>0.25</v>
      </c>
      <c r="AD250" s="51">
        <v>2011</v>
      </c>
      <c r="AE250" s="51">
        <v>50</v>
      </c>
      <c r="AF250" s="3" t="s">
        <v>353</v>
      </c>
      <c r="AG250" s="52" t="s">
        <v>380</v>
      </c>
      <c r="AH250" s="3" t="s">
        <v>381</v>
      </c>
      <c r="AI250" s="10"/>
    </row>
    <row r="251" spans="1:35" ht="12.75">
      <c r="A251" s="11"/>
      <c r="B251" s="76" t="s">
        <v>169</v>
      </c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56"/>
      <c r="AA251" s="57"/>
      <c r="AB251" s="3"/>
      <c r="AC251" s="3"/>
      <c r="AD251" s="57"/>
      <c r="AE251" s="57"/>
      <c r="AF251" s="57"/>
      <c r="AG251" s="57"/>
      <c r="AH251" s="77"/>
      <c r="AI251" s="57"/>
    </row>
    <row r="252" spans="1:35" ht="12.75">
      <c r="A252" s="49" t="s">
        <v>382</v>
      </c>
      <c r="B252" s="50" t="s">
        <v>383</v>
      </c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>
        <v>1.741</v>
      </c>
      <c r="R252" s="3">
        <v>0.015</v>
      </c>
      <c r="S252" s="3">
        <v>0.428</v>
      </c>
      <c r="T252" s="3">
        <v>1.252</v>
      </c>
      <c r="U252" s="3">
        <v>0.046</v>
      </c>
      <c r="V252" s="3"/>
      <c r="W252" s="3"/>
      <c r="X252" s="3"/>
      <c r="Y252" s="3"/>
      <c r="Z252" s="51">
        <v>2011</v>
      </c>
      <c r="AA252" s="51">
        <v>20</v>
      </c>
      <c r="AB252" s="3" t="s">
        <v>384</v>
      </c>
      <c r="AC252" s="24">
        <v>0.18</v>
      </c>
      <c r="AD252" s="51">
        <v>2011</v>
      </c>
      <c r="AE252" s="51">
        <v>50</v>
      </c>
      <c r="AF252" s="3" t="s">
        <v>353</v>
      </c>
      <c r="AG252" s="52" t="s">
        <v>375</v>
      </c>
      <c r="AH252" s="54" t="s">
        <v>385</v>
      </c>
      <c r="AI252" s="10"/>
    </row>
    <row r="253" spans="1:35" ht="12.75">
      <c r="A253" s="11"/>
      <c r="B253" s="76" t="s">
        <v>150</v>
      </c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56"/>
      <c r="AA253" s="57"/>
      <c r="AB253" s="3"/>
      <c r="AC253" s="3"/>
      <c r="AD253" s="57"/>
      <c r="AE253" s="57"/>
      <c r="AF253" s="57"/>
      <c r="AG253" s="57"/>
      <c r="AH253" s="77"/>
      <c r="AI253" s="57"/>
    </row>
    <row r="254" spans="1:35" ht="12.75">
      <c r="A254" s="49" t="s">
        <v>386</v>
      </c>
      <c r="B254" s="50" t="s">
        <v>387</v>
      </c>
      <c r="C254" s="3"/>
      <c r="D254" s="3"/>
      <c r="E254" s="3"/>
      <c r="F254" s="3"/>
      <c r="G254" s="3"/>
      <c r="H254" s="3"/>
      <c r="I254" s="3"/>
      <c r="J254" s="24"/>
      <c r="K254" s="3"/>
      <c r="L254" s="3"/>
      <c r="M254" s="3"/>
      <c r="N254" s="3"/>
      <c r="O254" s="3"/>
      <c r="P254" s="3"/>
      <c r="Q254" s="3">
        <v>4.022</v>
      </c>
      <c r="R254" s="3">
        <v>0.015</v>
      </c>
      <c r="S254" s="3">
        <v>1.167</v>
      </c>
      <c r="T254" s="3">
        <v>2.802</v>
      </c>
      <c r="U254" s="3">
        <v>0.038</v>
      </c>
      <c r="V254" s="3"/>
      <c r="W254" s="3"/>
      <c r="X254" s="3"/>
      <c r="Y254" s="3"/>
      <c r="Z254" s="51">
        <v>2011</v>
      </c>
      <c r="AA254" s="51">
        <v>20</v>
      </c>
      <c r="AB254" s="3" t="s">
        <v>331</v>
      </c>
      <c r="AC254" s="24">
        <v>0.544</v>
      </c>
      <c r="AD254" s="51">
        <v>2011</v>
      </c>
      <c r="AE254" s="51">
        <v>50</v>
      </c>
      <c r="AF254" s="3" t="s">
        <v>353</v>
      </c>
      <c r="AG254" s="52" t="s">
        <v>388</v>
      </c>
      <c r="AH254" s="54" t="s">
        <v>389</v>
      </c>
      <c r="AI254" s="10"/>
    </row>
    <row r="255" spans="1:35" ht="12.75">
      <c r="A255" s="58" t="s">
        <v>390</v>
      </c>
      <c r="B255" s="59" t="s">
        <v>391</v>
      </c>
      <c r="C255" s="60"/>
      <c r="D255" s="60"/>
      <c r="E255" s="60"/>
      <c r="F255" s="60"/>
      <c r="G255" s="60"/>
      <c r="H255" s="60"/>
      <c r="I255" s="60"/>
      <c r="J255" s="61"/>
      <c r="K255" s="60"/>
      <c r="L255" s="60"/>
      <c r="M255" s="60"/>
      <c r="N255" s="60"/>
      <c r="O255" s="60"/>
      <c r="P255" s="60"/>
      <c r="Q255" s="3">
        <v>0.857</v>
      </c>
      <c r="R255" s="60">
        <v>0.015</v>
      </c>
      <c r="S255" s="60">
        <v>0.225</v>
      </c>
      <c r="T255" s="60">
        <v>0.582</v>
      </c>
      <c r="U255" s="60">
        <v>0.035</v>
      </c>
      <c r="V255" s="60"/>
      <c r="W255" s="60"/>
      <c r="X255" s="60"/>
      <c r="Y255" s="60"/>
      <c r="Z255" s="62">
        <v>2011</v>
      </c>
      <c r="AA255" s="62">
        <v>20</v>
      </c>
      <c r="AB255" s="60" t="s">
        <v>392</v>
      </c>
      <c r="AC255" s="61">
        <v>0.05</v>
      </c>
      <c r="AD255" s="62">
        <v>2011</v>
      </c>
      <c r="AE255" s="62">
        <v>50</v>
      </c>
      <c r="AF255" s="60" t="s">
        <v>353</v>
      </c>
      <c r="AG255" s="78" t="s">
        <v>375</v>
      </c>
      <c r="AH255" s="64" t="s">
        <v>393</v>
      </c>
      <c r="AI255" s="65"/>
    </row>
    <row r="256" spans="1:35" ht="12.75">
      <c r="A256" s="49" t="s">
        <v>394</v>
      </c>
      <c r="B256" s="50" t="s">
        <v>395</v>
      </c>
      <c r="C256" s="3"/>
      <c r="D256" s="3"/>
      <c r="E256" s="3"/>
      <c r="F256" s="3"/>
      <c r="G256" s="3"/>
      <c r="H256" s="3"/>
      <c r="I256" s="3"/>
      <c r="J256" s="24"/>
      <c r="K256" s="3"/>
      <c r="L256" s="3"/>
      <c r="M256" s="3"/>
      <c r="N256" s="3"/>
      <c r="O256" s="3"/>
      <c r="P256" s="3"/>
      <c r="Q256" s="3">
        <v>0.981</v>
      </c>
      <c r="R256" s="3">
        <v>0.015</v>
      </c>
      <c r="S256" s="3">
        <v>0.213</v>
      </c>
      <c r="T256" s="3">
        <v>0.719</v>
      </c>
      <c r="U256" s="3">
        <v>0.034</v>
      </c>
      <c r="V256" s="3"/>
      <c r="W256" s="3"/>
      <c r="X256" s="3"/>
      <c r="Y256" s="3"/>
      <c r="Z256" s="51">
        <v>2011</v>
      </c>
      <c r="AA256" s="51">
        <v>20</v>
      </c>
      <c r="AB256" s="3" t="s">
        <v>392</v>
      </c>
      <c r="AC256" s="24">
        <v>0.09</v>
      </c>
      <c r="AD256" s="51">
        <v>2011</v>
      </c>
      <c r="AE256" s="51">
        <v>50</v>
      </c>
      <c r="AF256" s="3" t="s">
        <v>353</v>
      </c>
      <c r="AG256" s="52" t="s">
        <v>375</v>
      </c>
      <c r="AH256" s="54" t="s">
        <v>396</v>
      </c>
      <c r="AI256" s="10"/>
    </row>
    <row r="257" spans="1:35" ht="12.75">
      <c r="A257" s="79"/>
      <c r="B257" s="80" t="s">
        <v>145</v>
      </c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81"/>
      <c r="AA257" s="82"/>
      <c r="AB257" s="60"/>
      <c r="AC257" s="60"/>
      <c r="AD257" s="82"/>
      <c r="AE257" s="82"/>
      <c r="AF257" s="82"/>
      <c r="AG257" s="82"/>
      <c r="AH257" s="83"/>
      <c r="AI257" s="82"/>
    </row>
    <row r="258" spans="1:35" ht="12.75">
      <c r="A258" s="49" t="s">
        <v>397</v>
      </c>
      <c r="B258" s="50" t="s">
        <v>398</v>
      </c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>
        <v>1.062</v>
      </c>
      <c r="R258" s="3">
        <v>0.015</v>
      </c>
      <c r="S258" s="3">
        <v>0.263</v>
      </c>
      <c r="T258" s="24">
        <v>0.75</v>
      </c>
      <c r="U258" s="3">
        <v>0.034</v>
      </c>
      <c r="V258" s="3"/>
      <c r="W258" s="3"/>
      <c r="X258" s="3"/>
      <c r="Y258" s="3"/>
      <c r="Z258" s="51">
        <v>2011</v>
      </c>
      <c r="AA258" s="51">
        <v>20</v>
      </c>
      <c r="AB258" s="3" t="s">
        <v>384</v>
      </c>
      <c r="AC258" s="24">
        <v>0.18</v>
      </c>
      <c r="AD258" s="51">
        <v>2011</v>
      </c>
      <c r="AE258" s="51">
        <v>50</v>
      </c>
      <c r="AF258" s="3" t="s">
        <v>353</v>
      </c>
      <c r="AG258" s="52" t="s">
        <v>380</v>
      </c>
      <c r="AH258" s="54" t="s">
        <v>399</v>
      </c>
      <c r="AI258" s="10"/>
    </row>
    <row r="259" spans="1:35" ht="12.75">
      <c r="A259" s="49" t="s">
        <v>400</v>
      </c>
      <c r="B259" s="50" t="s">
        <v>401</v>
      </c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>
        <v>0.665</v>
      </c>
      <c r="R259" s="3">
        <v>0.015</v>
      </c>
      <c r="S259" s="3">
        <v>0.121</v>
      </c>
      <c r="T259" s="24">
        <v>0.5</v>
      </c>
      <c r="U259" s="3">
        <v>0.029</v>
      </c>
      <c r="V259" s="3"/>
      <c r="W259" s="3"/>
      <c r="X259" s="3"/>
      <c r="Y259" s="3"/>
      <c r="Z259" s="51">
        <v>2011</v>
      </c>
      <c r="AA259" s="51">
        <v>20</v>
      </c>
      <c r="AB259" s="3" t="s">
        <v>402</v>
      </c>
      <c r="AC259" s="3">
        <v>0.10200000000000001</v>
      </c>
      <c r="AD259" s="51">
        <v>2011</v>
      </c>
      <c r="AE259" s="51">
        <v>50</v>
      </c>
      <c r="AF259" s="3" t="s">
        <v>353</v>
      </c>
      <c r="AG259" s="52" t="s">
        <v>375</v>
      </c>
      <c r="AH259" s="54" t="s">
        <v>403</v>
      </c>
      <c r="AI259" s="10"/>
    </row>
    <row r="260" spans="1:35" ht="12.75">
      <c r="A260" s="49" t="s">
        <v>404</v>
      </c>
      <c r="B260" s="50" t="s">
        <v>405</v>
      </c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>
        <v>1.848</v>
      </c>
      <c r="R260" s="3">
        <v>0.015</v>
      </c>
      <c r="S260" s="3">
        <v>0.51</v>
      </c>
      <c r="T260" s="3">
        <v>1.273</v>
      </c>
      <c r="U260" s="3">
        <v>0.05</v>
      </c>
      <c r="V260" s="3"/>
      <c r="W260" s="3"/>
      <c r="X260" s="3"/>
      <c r="Y260" s="3"/>
      <c r="Z260" s="51">
        <v>2011</v>
      </c>
      <c r="AA260" s="51">
        <v>20</v>
      </c>
      <c r="AB260" s="3" t="s">
        <v>402</v>
      </c>
      <c r="AC260" s="24">
        <v>0.15</v>
      </c>
      <c r="AD260" s="51">
        <v>2011</v>
      </c>
      <c r="AE260" s="51">
        <v>50</v>
      </c>
      <c r="AF260" s="3" t="s">
        <v>353</v>
      </c>
      <c r="AG260" s="52" t="s">
        <v>375</v>
      </c>
      <c r="AH260" s="54" t="s">
        <v>406</v>
      </c>
      <c r="AI260" s="10"/>
    </row>
    <row r="261" spans="1:35" ht="12.75">
      <c r="A261" s="11"/>
      <c r="B261" s="76" t="s">
        <v>162</v>
      </c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51"/>
      <c r="AA261" s="10"/>
      <c r="AB261" s="10"/>
      <c r="AC261" s="10"/>
      <c r="AD261" s="10"/>
      <c r="AE261" s="10"/>
      <c r="AF261" s="10"/>
      <c r="AG261" s="10"/>
      <c r="AH261" s="84"/>
      <c r="AI261" s="10"/>
    </row>
    <row r="262" spans="1:35" ht="12.75">
      <c r="A262" s="66" t="s">
        <v>407</v>
      </c>
      <c r="B262" s="67" t="s">
        <v>408</v>
      </c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3">
        <v>0.04</v>
      </c>
      <c r="R262" s="68">
        <v>0.015</v>
      </c>
      <c r="S262" s="68">
        <v>0.011</v>
      </c>
      <c r="T262" s="68">
        <v>0.013</v>
      </c>
      <c r="U262" s="68">
        <v>0.001</v>
      </c>
      <c r="V262" s="68"/>
      <c r="W262" s="68"/>
      <c r="X262" s="68"/>
      <c r="Y262" s="68"/>
      <c r="Z262" s="71">
        <v>2011</v>
      </c>
      <c r="AA262" s="71">
        <v>0</v>
      </c>
      <c r="AB262" s="71">
        <v>0</v>
      </c>
      <c r="AC262" s="69">
        <v>0.002</v>
      </c>
      <c r="AD262" s="71">
        <v>2011</v>
      </c>
      <c r="AE262" s="71">
        <v>50</v>
      </c>
      <c r="AF262" s="71">
        <v>0</v>
      </c>
      <c r="AG262" s="73" t="s">
        <v>363</v>
      </c>
      <c r="AH262" s="68">
        <v>0.05</v>
      </c>
      <c r="AI262" s="74"/>
    </row>
    <row r="263" spans="1:35" ht="12.75">
      <c r="A263" s="66"/>
      <c r="B263" s="67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3">
        <f>SUM(Q236:Q262)</f>
        <v>61.361999999999995</v>
      </c>
      <c r="R263" s="3">
        <f>SUM(R236:R262)</f>
        <v>0.3300000000000002</v>
      </c>
      <c r="S263" s="3">
        <f>SUM(S236:S262)</f>
        <v>19.442000000000007</v>
      </c>
      <c r="T263" s="3">
        <f>SUM(T236:T262)</f>
        <v>40.788000000000004</v>
      </c>
      <c r="U263" s="3">
        <f>SUM(U236:U262)</f>
        <v>0.8020000000000003</v>
      </c>
      <c r="V263" s="68"/>
      <c r="W263" s="68"/>
      <c r="X263" s="68"/>
      <c r="Y263" s="68"/>
      <c r="Z263" s="71"/>
      <c r="AA263" s="71"/>
      <c r="AB263" s="71"/>
      <c r="AC263" s="3">
        <f>SUM(AC236:AC262)</f>
        <v>5.294</v>
      </c>
      <c r="AD263" s="71"/>
      <c r="AE263" s="71"/>
      <c r="AF263" s="71"/>
      <c r="AG263" s="73"/>
      <c r="AH263" s="68"/>
      <c r="AI263" s="74"/>
    </row>
    <row r="264" spans="1:35" ht="12.75">
      <c r="A264" s="11" t="s">
        <v>409</v>
      </c>
      <c r="B264" s="17" t="s">
        <v>410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3"/>
      <c r="S264" s="13"/>
      <c r="T264" s="13"/>
      <c r="U264" s="13"/>
      <c r="V264" s="17"/>
      <c r="W264" s="17"/>
      <c r="X264" s="17"/>
      <c r="Y264" s="17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</row>
    <row r="265" spans="1:35" ht="15" customHeight="1">
      <c r="A265" s="85" t="s">
        <v>411</v>
      </c>
      <c r="B265" s="17" t="s">
        <v>231</v>
      </c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3"/>
      <c r="S265" s="13"/>
      <c r="T265" s="13"/>
      <c r="U265" s="13"/>
      <c r="V265" s="17"/>
      <c r="W265" s="17"/>
      <c r="X265" s="17"/>
      <c r="Y265" s="17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</row>
    <row r="266" spans="1:35" ht="29.25" customHeight="1">
      <c r="A266" s="84">
        <v>1</v>
      </c>
      <c r="B266" s="17" t="s">
        <v>412</v>
      </c>
      <c r="C266" s="13"/>
      <c r="D266" s="13"/>
      <c r="E266" s="13"/>
      <c r="F266" s="13"/>
      <c r="G266" s="13"/>
      <c r="H266" s="13"/>
      <c r="I266" s="8">
        <v>2</v>
      </c>
      <c r="J266" s="13"/>
      <c r="K266" s="13"/>
      <c r="L266" s="13"/>
      <c r="M266" s="13"/>
      <c r="N266" s="13"/>
      <c r="O266" s="13"/>
      <c r="P266" s="8">
        <v>2</v>
      </c>
      <c r="Q266" s="86">
        <v>0.023459999999999998</v>
      </c>
      <c r="R266" s="13"/>
      <c r="S266" s="41">
        <v>0.003544</v>
      </c>
      <c r="T266" s="41">
        <v>0.019916</v>
      </c>
      <c r="U266" s="13"/>
      <c r="V266" s="13"/>
      <c r="W266" s="13"/>
      <c r="X266" s="13"/>
      <c r="Y266" s="13"/>
      <c r="Z266" s="43">
        <v>2011</v>
      </c>
      <c r="AA266" s="87">
        <v>7</v>
      </c>
      <c r="AB266" s="10"/>
      <c r="AC266" s="10"/>
      <c r="AD266" s="10"/>
      <c r="AE266" s="10"/>
      <c r="AF266" s="10"/>
      <c r="AG266" s="10"/>
      <c r="AH266" s="10"/>
      <c r="AI266" s="10"/>
    </row>
    <row r="267" spans="1:35" ht="29.25" customHeight="1">
      <c r="A267" s="84">
        <v>2</v>
      </c>
      <c r="B267" s="17" t="s">
        <v>413</v>
      </c>
      <c r="C267" s="13"/>
      <c r="D267" s="13"/>
      <c r="E267" s="13"/>
      <c r="F267" s="13"/>
      <c r="G267" s="13"/>
      <c r="H267" s="13"/>
      <c r="I267" s="8">
        <v>2</v>
      </c>
      <c r="J267" s="13"/>
      <c r="K267" s="13"/>
      <c r="L267" s="13"/>
      <c r="M267" s="13"/>
      <c r="N267" s="13"/>
      <c r="O267" s="13"/>
      <c r="P267" s="8">
        <v>2</v>
      </c>
      <c r="Q267" s="86">
        <v>0.02346</v>
      </c>
      <c r="R267" s="13"/>
      <c r="S267" s="41">
        <v>0.003544</v>
      </c>
      <c r="T267" s="41">
        <v>0.019916</v>
      </c>
      <c r="U267" s="13"/>
      <c r="V267" s="13"/>
      <c r="W267" s="13"/>
      <c r="X267" s="13"/>
      <c r="Y267" s="13"/>
      <c r="Z267" s="43">
        <v>2011</v>
      </c>
      <c r="AA267" s="87">
        <v>7</v>
      </c>
      <c r="AB267" s="10"/>
      <c r="AC267" s="10"/>
      <c r="AD267" s="10"/>
      <c r="AE267" s="10"/>
      <c r="AF267" s="10"/>
      <c r="AG267" s="10"/>
      <c r="AH267" s="10"/>
      <c r="AI267" s="10"/>
    </row>
    <row r="268" spans="1:35" ht="29.25" customHeight="1">
      <c r="A268" s="84">
        <v>3</v>
      </c>
      <c r="B268" s="17" t="s">
        <v>414</v>
      </c>
      <c r="C268" s="13"/>
      <c r="D268" s="13"/>
      <c r="E268" s="13"/>
      <c r="F268" s="13"/>
      <c r="G268" s="13"/>
      <c r="H268" s="13"/>
      <c r="I268" s="8">
        <v>1</v>
      </c>
      <c r="J268" s="13"/>
      <c r="K268" s="13"/>
      <c r="L268" s="13"/>
      <c r="M268" s="13"/>
      <c r="N268" s="13"/>
      <c r="O268" s="13"/>
      <c r="P268" s="8">
        <v>1</v>
      </c>
      <c r="Q268" s="86">
        <f>S268+T268</f>
        <v>0.012443999999999998</v>
      </c>
      <c r="R268" s="13"/>
      <c r="S268" s="41">
        <v>0.0018759999999999998</v>
      </c>
      <c r="T268" s="41">
        <v>0.010568</v>
      </c>
      <c r="U268" s="13"/>
      <c r="V268" s="13"/>
      <c r="W268" s="13"/>
      <c r="X268" s="13"/>
      <c r="Y268" s="13"/>
      <c r="Z268" s="43">
        <v>2011</v>
      </c>
      <c r="AA268" s="87">
        <v>7</v>
      </c>
      <c r="AB268" s="10"/>
      <c r="AC268" s="10"/>
      <c r="AD268" s="10"/>
      <c r="AE268" s="10"/>
      <c r="AF268" s="10"/>
      <c r="AG268" s="10"/>
      <c r="AH268" s="10"/>
      <c r="AI268" s="10"/>
    </row>
    <row r="269" spans="1:35" ht="29.25" customHeight="1">
      <c r="A269" s="84">
        <v>4</v>
      </c>
      <c r="B269" s="17" t="s">
        <v>415</v>
      </c>
      <c r="C269" s="13"/>
      <c r="D269" s="13"/>
      <c r="E269" s="13"/>
      <c r="F269" s="13"/>
      <c r="G269" s="13"/>
      <c r="H269" s="13"/>
      <c r="I269" s="8">
        <v>1</v>
      </c>
      <c r="J269" s="13"/>
      <c r="K269" s="13"/>
      <c r="L269" s="13"/>
      <c r="M269" s="13"/>
      <c r="N269" s="13"/>
      <c r="O269" s="13"/>
      <c r="P269" s="8">
        <v>1</v>
      </c>
      <c r="Q269" s="86">
        <f>S269+T269</f>
        <v>0.012443999999999998</v>
      </c>
      <c r="R269" s="13"/>
      <c r="S269" s="41">
        <v>0.0018759999999999998</v>
      </c>
      <c r="T269" s="41">
        <v>0.010568</v>
      </c>
      <c r="U269" s="13"/>
      <c r="V269" s="13"/>
      <c r="W269" s="13"/>
      <c r="X269" s="13"/>
      <c r="Y269" s="13"/>
      <c r="Z269" s="43">
        <v>2011</v>
      </c>
      <c r="AA269" s="87">
        <v>7</v>
      </c>
      <c r="AB269" s="10"/>
      <c r="AC269" s="10"/>
      <c r="AD269" s="10"/>
      <c r="AE269" s="10"/>
      <c r="AF269" s="10"/>
      <c r="AG269" s="10"/>
      <c r="AH269" s="10"/>
      <c r="AI269" s="10"/>
    </row>
    <row r="270" spans="1:35" ht="29.25" customHeight="1">
      <c r="A270" s="84">
        <v>5</v>
      </c>
      <c r="B270" s="17" t="s">
        <v>416</v>
      </c>
      <c r="C270" s="13"/>
      <c r="D270" s="13"/>
      <c r="E270" s="13"/>
      <c r="F270" s="13"/>
      <c r="G270" s="13"/>
      <c r="H270" s="13"/>
      <c r="I270" s="8">
        <v>2</v>
      </c>
      <c r="J270" s="13"/>
      <c r="K270" s="13"/>
      <c r="L270" s="13"/>
      <c r="M270" s="13"/>
      <c r="N270" s="13"/>
      <c r="O270" s="13"/>
      <c r="P270" s="8">
        <v>2</v>
      </c>
      <c r="Q270" s="86">
        <v>0.02346</v>
      </c>
      <c r="R270" s="13"/>
      <c r="S270" s="41">
        <v>0.003544</v>
      </c>
      <c r="T270" s="41">
        <v>0.019916</v>
      </c>
      <c r="U270" s="13"/>
      <c r="V270" s="13"/>
      <c r="W270" s="13"/>
      <c r="X270" s="13"/>
      <c r="Y270" s="13"/>
      <c r="Z270" s="43">
        <v>2011</v>
      </c>
      <c r="AA270" s="87">
        <v>7</v>
      </c>
      <c r="AB270" s="10"/>
      <c r="AC270" s="10"/>
      <c r="AD270" s="10"/>
      <c r="AE270" s="10"/>
      <c r="AF270" s="10"/>
      <c r="AG270" s="10"/>
      <c r="AH270" s="10"/>
      <c r="AI270" s="10"/>
    </row>
    <row r="271" spans="1:35" ht="29.25" customHeight="1">
      <c r="A271" s="84">
        <v>6</v>
      </c>
      <c r="B271" s="17" t="s">
        <v>417</v>
      </c>
      <c r="C271" s="13"/>
      <c r="D271" s="13"/>
      <c r="E271" s="13"/>
      <c r="F271" s="13"/>
      <c r="G271" s="13"/>
      <c r="H271" s="13"/>
      <c r="I271" s="8">
        <v>2</v>
      </c>
      <c r="J271" s="13"/>
      <c r="K271" s="13"/>
      <c r="L271" s="13"/>
      <c r="M271" s="13"/>
      <c r="N271" s="13"/>
      <c r="O271" s="13"/>
      <c r="P271" s="8">
        <v>2</v>
      </c>
      <c r="Q271" s="86">
        <v>0.02346</v>
      </c>
      <c r="R271" s="13"/>
      <c r="S271" s="41">
        <v>0.003544</v>
      </c>
      <c r="T271" s="41">
        <v>0.019916</v>
      </c>
      <c r="U271" s="13"/>
      <c r="V271" s="13"/>
      <c r="W271" s="13"/>
      <c r="X271" s="13"/>
      <c r="Y271" s="13"/>
      <c r="Z271" s="43">
        <v>2011</v>
      </c>
      <c r="AA271" s="87">
        <v>7</v>
      </c>
      <c r="AB271" s="10"/>
      <c r="AC271" s="10"/>
      <c r="AD271" s="10"/>
      <c r="AE271" s="10"/>
      <c r="AF271" s="10"/>
      <c r="AG271" s="10"/>
      <c r="AH271" s="10"/>
      <c r="AI271" s="10"/>
    </row>
    <row r="272" spans="1:35" ht="29.25" customHeight="1">
      <c r="A272" s="84">
        <v>7</v>
      </c>
      <c r="B272" s="17" t="s">
        <v>418</v>
      </c>
      <c r="C272" s="13"/>
      <c r="D272" s="13"/>
      <c r="E272" s="13"/>
      <c r="F272" s="13"/>
      <c r="G272" s="13"/>
      <c r="H272" s="13"/>
      <c r="I272" s="8">
        <v>1</v>
      </c>
      <c r="J272" s="13"/>
      <c r="K272" s="13"/>
      <c r="L272" s="13"/>
      <c r="M272" s="13"/>
      <c r="N272" s="13"/>
      <c r="O272" s="13"/>
      <c r="P272" s="8">
        <v>1</v>
      </c>
      <c r="Q272" s="86">
        <f>S272+T272</f>
        <v>0.012443999999999998</v>
      </c>
      <c r="R272" s="13"/>
      <c r="S272" s="41">
        <v>0.0018759999999999998</v>
      </c>
      <c r="T272" s="41">
        <v>0.010568</v>
      </c>
      <c r="U272" s="13"/>
      <c r="V272" s="13"/>
      <c r="W272" s="13"/>
      <c r="X272" s="13"/>
      <c r="Y272" s="13"/>
      <c r="Z272" s="43">
        <v>2011</v>
      </c>
      <c r="AA272" s="87">
        <v>7</v>
      </c>
      <c r="AB272" s="10"/>
      <c r="AC272" s="10"/>
      <c r="AD272" s="10"/>
      <c r="AE272" s="10"/>
      <c r="AF272" s="10"/>
      <c r="AG272" s="10"/>
      <c r="AH272" s="10"/>
      <c r="AI272" s="10"/>
    </row>
    <row r="273" spans="1:35" ht="29.25" customHeight="1">
      <c r="A273" s="84">
        <v>8</v>
      </c>
      <c r="B273" s="17" t="s">
        <v>419</v>
      </c>
      <c r="C273" s="13"/>
      <c r="D273" s="13"/>
      <c r="E273" s="13"/>
      <c r="F273" s="13"/>
      <c r="G273" s="13"/>
      <c r="H273" s="13"/>
      <c r="I273" s="8">
        <v>2</v>
      </c>
      <c r="J273" s="13"/>
      <c r="K273" s="13"/>
      <c r="L273" s="13"/>
      <c r="M273" s="13"/>
      <c r="N273" s="13"/>
      <c r="O273" s="13"/>
      <c r="P273" s="8">
        <v>2</v>
      </c>
      <c r="Q273" s="86">
        <v>0.02346</v>
      </c>
      <c r="R273" s="13"/>
      <c r="S273" s="41">
        <v>0.003544</v>
      </c>
      <c r="T273" s="41">
        <v>0.019916</v>
      </c>
      <c r="U273" s="13"/>
      <c r="V273" s="13"/>
      <c r="W273" s="13"/>
      <c r="X273" s="13"/>
      <c r="Y273" s="13"/>
      <c r="Z273" s="43">
        <v>2011</v>
      </c>
      <c r="AA273" s="87">
        <v>7</v>
      </c>
      <c r="AB273" s="10"/>
      <c r="AC273" s="10"/>
      <c r="AD273" s="10"/>
      <c r="AE273" s="10"/>
      <c r="AF273" s="10"/>
      <c r="AG273" s="10"/>
      <c r="AH273" s="10"/>
      <c r="AI273" s="10"/>
    </row>
    <row r="274" spans="1:35" ht="29.25" customHeight="1">
      <c r="A274" s="84">
        <v>9</v>
      </c>
      <c r="B274" s="17" t="s">
        <v>420</v>
      </c>
      <c r="C274" s="13"/>
      <c r="D274" s="13"/>
      <c r="E274" s="13"/>
      <c r="F274" s="13"/>
      <c r="G274" s="13"/>
      <c r="H274" s="13"/>
      <c r="I274" s="8">
        <v>2</v>
      </c>
      <c r="J274" s="13"/>
      <c r="K274" s="13"/>
      <c r="L274" s="13"/>
      <c r="M274" s="13"/>
      <c r="N274" s="13"/>
      <c r="O274" s="13"/>
      <c r="P274" s="8">
        <v>2</v>
      </c>
      <c r="Q274" s="86">
        <v>0.02346</v>
      </c>
      <c r="R274" s="13"/>
      <c r="S274" s="41">
        <v>0.003544</v>
      </c>
      <c r="T274" s="41">
        <v>0.019916</v>
      </c>
      <c r="U274" s="13"/>
      <c r="V274" s="13"/>
      <c r="W274" s="13"/>
      <c r="X274" s="13"/>
      <c r="Y274" s="13"/>
      <c r="Z274" s="43">
        <v>2011</v>
      </c>
      <c r="AA274" s="87">
        <v>7</v>
      </c>
      <c r="AB274" s="10"/>
      <c r="AC274" s="10"/>
      <c r="AD274" s="10"/>
      <c r="AE274" s="10"/>
      <c r="AF274" s="10"/>
      <c r="AG274" s="10"/>
      <c r="AH274" s="10"/>
      <c r="AI274" s="10"/>
    </row>
    <row r="275" spans="1:35" ht="29.25" customHeight="1">
      <c r="A275" s="84">
        <v>10</v>
      </c>
      <c r="B275" s="17" t="s">
        <v>421</v>
      </c>
      <c r="C275" s="13"/>
      <c r="D275" s="13"/>
      <c r="E275" s="13"/>
      <c r="F275" s="13"/>
      <c r="G275" s="13"/>
      <c r="H275" s="13"/>
      <c r="I275" s="8">
        <v>2</v>
      </c>
      <c r="J275" s="13"/>
      <c r="K275" s="13"/>
      <c r="L275" s="13"/>
      <c r="M275" s="13"/>
      <c r="N275" s="13"/>
      <c r="O275" s="13"/>
      <c r="P275" s="8">
        <v>2</v>
      </c>
      <c r="Q275" s="86">
        <v>0.02346</v>
      </c>
      <c r="R275" s="13"/>
      <c r="S275" s="41">
        <v>0.003544</v>
      </c>
      <c r="T275" s="41">
        <v>0.019916</v>
      </c>
      <c r="U275" s="13"/>
      <c r="V275" s="13"/>
      <c r="W275" s="13"/>
      <c r="X275" s="13"/>
      <c r="Y275" s="13"/>
      <c r="Z275" s="43">
        <v>2011</v>
      </c>
      <c r="AA275" s="87">
        <v>7</v>
      </c>
      <c r="AB275" s="10"/>
      <c r="AC275" s="10"/>
      <c r="AD275" s="10"/>
      <c r="AE275" s="10"/>
      <c r="AF275" s="10"/>
      <c r="AG275" s="10"/>
      <c r="AH275" s="10"/>
      <c r="AI275" s="10"/>
    </row>
    <row r="276" spans="1:35" ht="29.25" customHeight="1">
      <c r="A276" s="84">
        <v>11</v>
      </c>
      <c r="B276" s="17" t="s">
        <v>422</v>
      </c>
      <c r="C276" s="13"/>
      <c r="D276" s="13"/>
      <c r="E276" s="13"/>
      <c r="F276" s="13"/>
      <c r="G276" s="13"/>
      <c r="H276" s="13"/>
      <c r="I276" s="8">
        <v>2</v>
      </c>
      <c r="J276" s="13"/>
      <c r="K276" s="13"/>
      <c r="L276" s="13"/>
      <c r="M276" s="13"/>
      <c r="N276" s="13"/>
      <c r="O276" s="13"/>
      <c r="P276" s="8">
        <v>2</v>
      </c>
      <c r="Q276" s="86">
        <v>0.02346</v>
      </c>
      <c r="R276" s="13"/>
      <c r="S276" s="41">
        <v>0.003544</v>
      </c>
      <c r="T276" s="41">
        <v>0.019916</v>
      </c>
      <c r="U276" s="13"/>
      <c r="V276" s="13"/>
      <c r="W276" s="13"/>
      <c r="X276" s="13"/>
      <c r="Y276" s="13"/>
      <c r="Z276" s="43">
        <v>2011</v>
      </c>
      <c r="AA276" s="87">
        <v>7</v>
      </c>
      <c r="AB276" s="10"/>
      <c r="AC276" s="10"/>
      <c r="AD276" s="10"/>
      <c r="AE276" s="10"/>
      <c r="AF276" s="10"/>
      <c r="AG276" s="10"/>
      <c r="AH276" s="10"/>
      <c r="AI276" s="10"/>
    </row>
    <row r="277" spans="1:35" ht="29.25" customHeight="1">
      <c r="A277" s="84">
        <v>12</v>
      </c>
      <c r="B277" s="17" t="s">
        <v>423</v>
      </c>
      <c r="C277" s="13"/>
      <c r="D277" s="13"/>
      <c r="E277" s="13"/>
      <c r="F277" s="13"/>
      <c r="G277" s="13"/>
      <c r="H277" s="13"/>
      <c r="I277" s="8">
        <v>2</v>
      </c>
      <c r="J277" s="13"/>
      <c r="K277" s="13"/>
      <c r="L277" s="13"/>
      <c r="M277" s="13"/>
      <c r="N277" s="13"/>
      <c r="O277" s="13"/>
      <c r="P277" s="8">
        <v>2</v>
      </c>
      <c r="Q277" s="86">
        <v>0.023459999999999998</v>
      </c>
      <c r="R277" s="13"/>
      <c r="S277" s="41">
        <v>0.003544</v>
      </c>
      <c r="T277" s="41">
        <v>0.019916</v>
      </c>
      <c r="U277" s="13"/>
      <c r="V277" s="13"/>
      <c r="W277" s="13"/>
      <c r="X277" s="13"/>
      <c r="Y277" s="13"/>
      <c r="Z277" s="43">
        <v>2011</v>
      </c>
      <c r="AA277" s="87">
        <v>7</v>
      </c>
      <c r="AB277" s="10"/>
      <c r="AC277" s="10"/>
      <c r="AD277" s="10"/>
      <c r="AE277" s="10"/>
      <c r="AF277" s="10"/>
      <c r="AG277" s="10"/>
      <c r="AH277" s="10"/>
      <c r="AI277" s="10"/>
    </row>
    <row r="278" spans="1:35" ht="29.25" customHeight="1">
      <c r="A278" s="84">
        <v>13</v>
      </c>
      <c r="B278" s="17" t="s">
        <v>424</v>
      </c>
      <c r="C278" s="13"/>
      <c r="D278" s="13"/>
      <c r="E278" s="13"/>
      <c r="F278" s="13"/>
      <c r="G278" s="13"/>
      <c r="H278" s="13"/>
      <c r="I278" s="8">
        <v>2</v>
      </c>
      <c r="J278" s="13"/>
      <c r="K278" s="13"/>
      <c r="L278" s="13"/>
      <c r="M278" s="13"/>
      <c r="N278" s="13"/>
      <c r="O278" s="13"/>
      <c r="P278" s="8">
        <v>2</v>
      </c>
      <c r="Q278" s="86">
        <v>0.023459999999999998</v>
      </c>
      <c r="R278" s="13"/>
      <c r="S278" s="41">
        <v>0.003544</v>
      </c>
      <c r="T278" s="41">
        <v>0.019916</v>
      </c>
      <c r="U278" s="13"/>
      <c r="V278" s="13"/>
      <c r="W278" s="13"/>
      <c r="X278" s="13"/>
      <c r="Y278" s="13"/>
      <c r="Z278" s="43">
        <v>2011</v>
      </c>
      <c r="AA278" s="87">
        <v>7</v>
      </c>
      <c r="AB278" s="10"/>
      <c r="AC278" s="10"/>
      <c r="AD278" s="10"/>
      <c r="AE278" s="10"/>
      <c r="AF278" s="10"/>
      <c r="AG278" s="10"/>
      <c r="AH278" s="10"/>
      <c r="AI278" s="10"/>
    </row>
    <row r="279" spans="1:35" ht="29.25" customHeight="1">
      <c r="A279" s="84">
        <v>14</v>
      </c>
      <c r="B279" s="17" t="s">
        <v>425</v>
      </c>
      <c r="C279" s="13"/>
      <c r="D279" s="13"/>
      <c r="E279" s="13"/>
      <c r="F279" s="13"/>
      <c r="G279" s="13"/>
      <c r="H279" s="13"/>
      <c r="I279" s="8">
        <v>1</v>
      </c>
      <c r="J279" s="13"/>
      <c r="K279" s="13"/>
      <c r="L279" s="13"/>
      <c r="M279" s="13"/>
      <c r="N279" s="13"/>
      <c r="O279" s="13"/>
      <c r="P279" s="8">
        <v>1</v>
      </c>
      <c r="Q279" s="86">
        <f>S279+T279</f>
        <v>0.012443999999999998</v>
      </c>
      <c r="R279" s="13"/>
      <c r="S279" s="41">
        <v>0.0018759999999999998</v>
      </c>
      <c r="T279" s="41">
        <v>0.010568</v>
      </c>
      <c r="U279" s="13"/>
      <c r="V279" s="13"/>
      <c r="W279" s="13"/>
      <c r="X279" s="13"/>
      <c r="Y279" s="13"/>
      <c r="Z279" s="43">
        <v>2011</v>
      </c>
      <c r="AA279" s="87">
        <v>7</v>
      </c>
      <c r="AB279" s="10"/>
      <c r="AC279" s="10"/>
      <c r="AD279" s="10"/>
      <c r="AE279" s="10"/>
      <c r="AF279" s="10"/>
      <c r="AG279" s="10"/>
      <c r="AH279" s="10"/>
      <c r="AI279" s="10"/>
    </row>
    <row r="280" spans="1:35" ht="29.25" customHeight="1">
      <c r="A280" s="84">
        <v>15</v>
      </c>
      <c r="B280" s="17" t="s">
        <v>426</v>
      </c>
      <c r="C280" s="13"/>
      <c r="D280" s="13"/>
      <c r="E280" s="13"/>
      <c r="F280" s="13"/>
      <c r="G280" s="13"/>
      <c r="H280" s="13"/>
      <c r="I280" s="8">
        <v>2</v>
      </c>
      <c r="J280" s="13"/>
      <c r="K280" s="13"/>
      <c r="L280" s="13"/>
      <c r="M280" s="13"/>
      <c r="N280" s="13"/>
      <c r="O280" s="13"/>
      <c r="P280" s="8">
        <v>2</v>
      </c>
      <c r="Q280" s="86">
        <v>0.023459999999999998</v>
      </c>
      <c r="R280" s="13"/>
      <c r="S280" s="41">
        <v>0.003544</v>
      </c>
      <c r="T280" s="41">
        <v>0.019916</v>
      </c>
      <c r="U280" s="13"/>
      <c r="V280" s="13"/>
      <c r="W280" s="13"/>
      <c r="X280" s="13"/>
      <c r="Y280" s="13"/>
      <c r="Z280" s="43">
        <v>2011</v>
      </c>
      <c r="AA280" s="87">
        <v>7</v>
      </c>
      <c r="AB280" s="10"/>
      <c r="AC280" s="10"/>
      <c r="AD280" s="10"/>
      <c r="AE280" s="10"/>
      <c r="AF280" s="10"/>
      <c r="AG280" s="10"/>
      <c r="AH280" s="10"/>
      <c r="AI280" s="10"/>
    </row>
    <row r="281" spans="1:35" ht="29.25" customHeight="1">
      <c r="A281" s="84">
        <v>16</v>
      </c>
      <c r="B281" s="17" t="s">
        <v>427</v>
      </c>
      <c r="C281" s="13"/>
      <c r="D281" s="13"/>
      <c r="E281" s="13"/>
      <c r="F281" s="13"/>
      <c r="G281" s="13"/>
      <c r="H281" s="13"/>
      <c r="I281" s="8">
        <v>2</v>
      </c>
      <c r="J281" s="13"/>
      <c r="K281" s="13"/>
      <c r="L281" s="13"/>
      <c r="M281" s="13"/>
      <c r="N281" s="13"/>
      <c r="O281" s="13"/>
      <c r="P281" s="8">
        <v>2</v>
      </c>
      <c r="Q281" s="86">
        <v>0.023459999999999998</v>
      </c>
      <c r="R281" s="13"/>
      <c r="S281" s="41">
        <v>0.003544</v>
      </c>
      <c r="T281" s="41">
        <v>0.019916</v>
      </c>
      <c r="U281" s="13"/>
      <c r="V281" s="13"/>
      <c r="W281" s="13"/>
      <c r="X281" s="13"/>
      <c r="Y281" s="13"/>
      <c r="Z281" s="43">
        <v>2011</v>
      </c>
      <c r="AA281" s="87">
        <v>7</v>
      </c>
      <c r="AB281" s="10"/>
      <c r="AC281" s="10"/>
      <c r="AD281" s="10"/>
      <c r="AE281" s="10"/>
      <c r="AF281" s="10"/>
      <c r="AG281" s="10"/>
      <c r="AH281" s="10"/>
      <c r="AI281" s="10"/>
    </row>
    <row r="282" spans="1:35" ht="29.25" customHeight="1">
      <c r="A282" s="84">
        <v>17</v>
      </c>
      <c r="B282" s="17" t="s">
        <v>428</v>
      </c>
      <c r="C282" s="13"/>
      <c r="D282" s="13"/>
      <c r="E282" s="13"/>
      <c r="F282" s="13"/>
      <c r="G282" s="13"/>
      <c r="H282" s="13"/>
      <c r="I282" s="8">
        <v>2</v>
      </c>
      <c r="J282" s="13"/>
      <c r="K282" s="13"/>
      <c r="L282" s="13"/>
      <c r="M282" s="13"/>
      <c r="N282" s="13"/>
      <c r="O282" s="13"/>
      <c r="P282" s="8">
        <v>2</v>
      </c>
      <c r="Q282" s="86">
        <v>0.023459999999999998</v>
      </c>
      <c r="R282" s="13"/>
      <c r="S282" s="41">
        <v>0.003544</v>
      </c>
      <c r="T282" s="41">
        <v>0.019916</v>
      </c>
      <c r="U282" s="13"/>
      <c r="V282" s="13"/>
      <c r="W282" s="13"/>
      <c r="X282" s="13"/>
      <c r="Y282" s="13"/>
      <c r="Z282" s="43">
        <v>2011</v>
      </c>
      <c r="AA282" s="87">
        <v>7</v>
      </c>
      <c r="AB282" s="10"/>
      <c r="AC282" s="10"/>
      <c r="AD282" s="10"/>
      <c r="AE282" s="10"/>
      <c r="AF282" s="10"/>
      <c r="AG282" s="10"/>
      <c r="AH282" s="10"/>
      <c r="AI282" s="10"/>
    </row>
    <row r="283" spans="1:35" ht="29.25" customHeight="1">
      <c r="A283" s="84">
        <v>18</v>
      </c>
      <c r="B283" s="17" t="s">
        <v>429</v>
      </c>
      <c r="C283" s="13"/>
      <c r="D283" s="13"/>
      <c r="E283" s="13"/>
      <c r="F283" s="13"/>
      <c r="G283" s="13"/>
      <c r="H283" s="13"/>
      <c r="I283" s="8">
        <v>2</v>
      </c>
      <c r="J283" s="13"/>
      <c r="K283" s="13"/>
      <c r="L283" s="13"/>
      <c r="M283" s="13"/>
      <c r="N283" s="13"/>
      <c r="O283" s="13"/>
      <c r="P283" s="8">
        <v>2</v>
      </c>
      <c r="Q283" s="86">
        <v>0.023459999999999998</v>
      </c>
      <c r="R283" s="13"/>
      <c r="S283" s="41">
        <v>0.003544</v>
      </c>
      <c r="T283" s="41">
        <v>0.019916</v>
      </c>
      <c r="U283" s="13"/>
      <c r="V283" s="13"/>
      <c r="W283" s="13"/>
      <c r="X283" s="13"/>
      <c r="Y283" s="13"/>
      <c r="Z283" s="43">
        <v>2011</v>
      </c>
      <c r="AA283" s="87">
        <v>7</v>
      </c>
      <c r="AB283" s="10"/>
      <c r="AC283" s="10"/>
      <c r="AD283" s="10"/>
      <c r="AE283" s="10"/>
      <c r="AF283" s="10"/>
      <c r="AG283" s="10"/>
      <c r="AH283" s="10"/>
      <c r="AI283" s="10"/>
    </row>
    <row r="284" spans="1:35" ht="29.25" customHeight="1">
      <c r="A284" s="84">
        <v>19</v>
      </c>
      <c r="B284" s="17" t="s">
        <v>430</v>
      </c>
      <c r="C284" s="13"/>
      <c r="D284" s="13"/>
      <c r="E284" s="13"/>
      <c r="F284" s="13"/>
      <c r="G284" s="13"/>
      <c r="H284" s="13"/>
      <c r="I284" s="8">
        <v>2</v>
      </c>
      <c r="J284" s="13"/>
      <c r="K284" s="13"/>
      <c r="L284" s="13"/>
      <c r="M284" s="13"/>
      <c r="N284" s="13"/>
      <c r="O284" s="13"/>
      <c r="P284" s="8">
        <v>2</v>
      </c>
      <c r="Q284" s="86">
        <v>0.023459999999999998</v>
      </c>
      <c r="R284" s="13"/>
      <c r="S284" s="41">
        <v>0.003544</v>
      </c>
      <c r="T284" s="41">
        <v>0.019916</v>
      </c>
      <c r="U284" s="13"/>
      <c r="V284" s="13"/>
      <c r="W284" s="13"/>
      <c r="X284" s="13"/>
      <c r="Y284" s="13"/>
      <c r="Z284" s="43">
        <v>2011</v>
      </c>
      <c r="AA284" s="87">
        <v>7</v>
      </c>
      <c r="AB284" s="10"/>
      <c r="AC284" s="10"/>
      <c r="AD284" s="10"/>
      <c r="AE284" s="10"/>
      <c r="AF284" s="10"/>
      <c r="AG284" s="10"/>
      <c r="AH284" s="10"/>
      <c r="AI284" s="10"/>
    </row>
    <row r="285" spans="1:35" ht="29.25" customHeight="1">
      <c r="A285" s="84">
        <v>20</v>
      </c>
      <c r="B285" s="17" t="s">
        <v>431</v>
      </c>
      <c r="C285" s="13"/>
      <c r="D285" s="13"/>
      <c r="E285" s="13"/>
      <c r="F285" s="13"/>
      <c r="G285" s="13"/>
      <c r="H285" s="13"/>
      <c r="I285" s="8">
        <v>2</v>
      </c>
      <c r="J285" s="13"/>
      <c r="K285" s="13"/>
      <c r="L285" s="13"/>
      <c r="M285" s="13"/>
      <c r="N285" s="13"/>
      <c r="O285" s="13"/>
      <c r="P285" s="8">
        <v>2</v>
      </c>
      <c r="Q285" s="86">
        <v>0.023459999999999998</v>
      </c>
      <c r="R285" s="13"/>
      <c r="S285" s="41">
        <v>0.003544</v>
      </c>
      <c r="T285" s="41">
        <v>0.019916</v>
      </c>
      <c r="U285" s="13"/>
      <c r="V285" s="13"/>
      <c r="W285" s="13"/>
      <c r="X285" s="13"/>
      <c r="Y285" s="13"/>
      <c r="Z285" s="43">
        <v>2011</v>
      </c>
      <c r="AA285" s="87">
        <v>7</v>
      </c>
      <c r="AB285" s="10"/>
      <c r="AC285" s="10"/>
      <c r="AD285" s="10"/>
      <c r="AE285" s="10"/>
      <c r="AF285" s="10"/>
      <c r="AG285" s="10"/>
      <c r="AH285" s="10"/>
      <c r="AI285" s="10"/>
    </row>
    <row r="286" spans="1:35" ht="29.25" customHeight="1">
      <c r="A286" s="84">
        <v>21</v>
      </c>
      <c r="B286" s="17" t="s">
        <v>432</v>
      </c>
      <c r="C286" s="13"/>
      <c r="D286" s="13"/>
      <c r="E286" s="13"/>
      <c r="F286" s="13"/>
      <c r="G286" s="13"/>
      <c r="H286" s="13"/>
      <c r="I286" s="8">
        <v>2</v>
      </c>
      <c r="J286" s="13"/>
      <c r="K286" s="13"/>
      <c r="L286" s="13"/>
      <c r="M286" s="13"/>
      <c r="N286" s="13"/>
      <c r="O286" s="13"/>
      <c r="P286" s="8">
        <v>2</v>
      </c>
      <c r="Q286" s="86">
        <v>0.023459999999999998</v>
      </c>
      <c r="R286" s="13"/>
      <c r="S286" s="41">
        <v>0.003544</v>
      </c>
      <c r="T286" s="41">
        <v>0.019916</v>
      </c>
      <c r="U286" s="13"/>
      <c r="V286" s="13"/>
      <c r="W286" s="13"/>
      <c r="X286" s="13"/>
      <c r="Y286" s="13"/>
      <c r="Z286" s="43">
        <v>2011</v>
      </c>
      <c r="AA286" s="87">
        <v>7</v>
      </c>
      <c r="AB286" s="10"/>
      <c r="AC286" s="10"/>
      <c r="AD286" s="10"/>
      <c r="AE286" s="10"/>
      <c r="AF286" s="10"/>
      <c r="AG286" s="10"/>
      <c r="AH286" s="10"/>
      <c r="AI286" s="10"/>
    </row>
    <row r="287" spans="1:35" ht="29.25" customHeight="1">
      <c r="A287" s="84">
        <v>22</v>
      </c>
      <c r="B287" s="17" t="s">
        <v>433</v>
      </c>
      <c r="C287" s="13"/>
      <c r="D287" s="13"/>
      <c r="E287" s="13"/>
      <c r="F287" s="13"/>
      <c r="G287" s="13"/>
      <c r="H287" s="13"/>
      <c r="I287" s="8">
        <v>2</v>
      </c>
      <c r="J287" s="13"/>
      <c r="K287" s="13"/>
      <c r="L287" s="13"/>
      <c r="M287" s="13"/>
      <c r="N287" s="13"/>
      <c r="O287" s="13"/>
      <c r="P287" s="8">
        <v>2</v>
      </c>
      <c r="Q287" s="86">
        <v>0.023459999999999998</v>
      </c>
      <c r="R287" s="13"/>
      <c r="S287" s="41">
        <v>0.003544</v>
      </c>
      <c r="T287" s="41">
        <v>0.019916</v>
      </c>
      <c r="U287" s="13"/>
      <c r="V287" s="13"/>
      <c r="W287" s="13"/>
      <c r="X287" s="13"/>
      <c r="Y287" s="13"/>
      <c r="Z287" s="43">
        <v>2011</v>
      </c>
      <c r="AA287" s="87">
        <v>7</v>
      </c>
      <c r="AB287" s="10"/>
      <c r="AC287" s="10"/>
      <c r="AD287" s="10"/>
      <c r="AE287" s="10"/>
      <c r="AF287" s="10"/>
      <c r="AG287" s="10"/>
      <c r="AH287" s="10"/>
      <c r="AI287" s="10"/>
    </row>
    <row r="288" spans="1:35" ht="29.25" customHeight="1">
      <c r="A288" s="84">
        <v>23</v>
      </c>
      <c r="B288" s="17" t="s">
        <v>434</v>
      </c>
      <c r="C288" s="13"/>
      <c r="D288" s="13"/>
      <c r="E288" s="13"/>
      <c r="F288" s="13"/>
      <c r="G288" s="13"/>
      <c r="H288" s="13"/>
      <c r="I288" s="8">
        <v>2</v>
      </c>
      <c r="J288" s="13"/>
      <c r="K288" s="13"/>
      <c r="L288" s="13"/>
      <c r="M288" s="13"/>
      <c r="N288" s="13"/>
      <c r="O288" s="13"/>
      <c r="P288" s="8">
        <v>2</v>
      </c>
      <c r="Q288" s="86">
        <v>0.023459999999999998</v>
      </c>
      <c r="R288" s="13"/>
      <c r="S288" s="41">
        <v>0.003544</v>
      </c>
      <c r="T288" s="41">
        <v>0.019916</v>
      </c>
      <c r="U288" s="13"/>
      <c r="V288" s="13"/>
      <c r="W288" s="13"/>
      <c r="X288" s="13"/>
      <c r="Y288" s="13"/>
      <c r="Z288" s="43">
        <v>2011</v>
      </c>
      <c r="AA288" s="87">
        <v>7</v>
      </c>
      <c r="AB288" s="10"/>
      <c r="AC288" s="10"/>
      <c r="AD288" s="10"/>
      <c r="AE288" s="10"/>
      <c r="AF288" s="10"/>
      <c r="AG288" s="10"/>
      <c r="AH288" s="10"/>
      <c r="AI288" s="10"/>
    </row>
    <row r="289" spans="1:35" ht="29.25" customHeight="1">
      <c r="A289" s="84">
        <v>24</v>
      </c>
      <c r="B289" s="17" t="s">
        <v>435</v>
      </c>
      <c r="C289" s="13"/>
      <c r="D289" s="13"/>
      <c r="E289" s="13"/>
      <c r="F289" s="13"/>
      <c r="G289" s="13"/>
      <c r="H289" s="13"/>
      <c r="I289" s="8">
        <v>1</v>
      </c>
      <c r="J289" s="13"/>
      <c r="K289" s="13"/>
      <c r="L289" s="13"/>
      <c r="M289" s="13"/>
      <c r="N289" s="13"/>
      <c r="O289" s="13"/>
      <c r="P289" s="8">
        <v>1</v>
      </c>
      <c r="Q289" s="86">
        <f>S289+T289</f>
        <v>0.012443999999999998</v>
      </c>
      <c r="R289" s="13"/>
      <c r="S289" s="41">
        <v>0.0018759999999999998</v>
      </c>
      <c r="T289" s="41">
        <v>0.010568</v>
      </c>
      <c r="U289" s="13"/>
      <c r="V289" s="13"/>
      <c r="W289" s="13"/>
      <c r="X289" s="13"/>
      <c r="Y289" s="13"/>
      <c r="Z289" s="43">
        <v>2011</v>
      </c>
      <c r="AA289" s="87">
        <v>7</v>
      </c>
      <c r="AB289" s="10"/>
      <c r="AC289" s="10"/>
      <c r="AD289" s="10"/>
      <c r="AE289" s="10"/>
      <c r="AF289" s="10"/>
      <c r="AG289" s="10"/>
      <c r="AH289" s="10"/>
      <c r="AI289" s="10"/>
    </row>
    <row r="290" spans="1:35" ht="29.25" customHeight="1">
      <c r="A290" s="84">
        <v>25</v>
      </c>
      <c r="B290" s="17" t="s">
        <v>436</v>
      </c>
      <c r="C290" s="13"/>
      <c r="D290" s="13"/>
      <c r="E290" s="13"/>
      <c r="F290" s="13"/>
      <c r="G290" s="13"/>
      <c r="H290" s="13"/>
      <c r="I290" s="8">
        <v>2</v>
      </c>
      <c r="J290" s="13"/>
      <c r="K290" s="13"/>
      <c r="L290" s="13"/>
      <c r="M290" s="13"/>
      <c r="N290" s="13"/>
      <c r="O290" s="13"/>
      <c r="P290" s="8">
        <v>2</v>
      </c>
      <c r="Q290" s="86">
        <v>0.023459999999999998</v>
      </c>
      <c r="R290" s="13"/>
      <c r="S290" s="41">
        <v>0.003544</v>
      </c>
      <c r="T290" s="41">
        <v>0.019916</v>
      </c>
      <c r="U290" s="13"/>
      <c r="V290" s="13"/>
      <c r="W290" s="13"/>
      <c r="X290" s="13"/>
      <c r="Y290" s="13"/>
      <c r="Z290" s="43">
        <v>2011</v>
      </c>
      <c r="AA290" s="87">
        <v>7</v>
      </c>
      <c r="AB290" s="10"/>
      <c r="AC290" s="10"/>
      <c r="AD290" s="10"/>
      <c r="AE290" s="10"/>
      <c r="AF290" s="10"/>
      <c r="AG290" s="10"/>
      <c r="AH290" s="10"/>
      <c r="AI290" s="10"/>
    </row>
    <row r="291" spans="1:35" ht="29.25" customHeight="1">
      <c r="A291" s="84">
        <v>26</v>
      </c>
      <c r="B291" s="17" t="s">
        <v>437</v>
      </c>
      <c r="C291" s="13"/>
      <c r="D291" s="13"/>
      <c r="E291" s="13"/>
      <c r="F291" s="13"/>
      <c r="G291" s="13"/>
      <c r="H291" s="13"/>
      <c r="I291" s="8">
        <v>2</v>
      </c>
      <c r="J291" s="13"/>
      <c r="K291" s="13"/>
      <c r="L291" s="13"/>
      <c r="M291" s="13"/>
      <c r="N291" s="13"/>
      <c r="O291" s="13"/>
      <c r="P291" s="8">
        <v>2</v>
      </c>
      <c r="Q291" s="86">
        <v>0.023459999999999998</v>
      </c>
      <c r="R291" s="13"/>
      <c r="S291" s="41">
        <v>0.003544</v>
      </c>
      <c r="T291" s="41">
        <v>0.019916</v>
      </c>
      <c r="U291" s="13"/>
      <c r="V291" s="13"/>
      <c r="W291" s="13"/>
      <c r="X291" s="13"/>
      <c r="Y291" s="13"/>
      <c r="Z291" s="43">
        <v>2011</v>
      </c>
      <c r="AA291" s="87">
        <v>7</v>
      </c>
      <c r="AB291" s="10"/>
      <c r="AC291" s="10"/>
      <c r="AD291" s="10"/>
      <c r="AE291" s="10"/>
      <c r="AF291" s="10"/>
      <c r="AG291" s="10"/>
      <c r="AH291" s="10"/>
      <c r="AI291" s="10"/>
    </row>
    <row r="292" spans="1:35" ht="29.25" customHeight="1">
      <c r="A292" s="84">
        <v>27</v>
      </c>
      <c r="B292" s="17" t="s">
        <v>438</v>
      </c>
      <c r="C292" s="13"/>
      <c r="D292" s="13"/>
      <c r="E292" s="13"/>
      <c r="F292" s="13"/>
      <c r="G292" s="13"/>
      <c r="H292" s="13"/>
      <c r="I292" s="8">
        <v>2</v>
      </c>
      <c r="J292" s="13"/>
      <c r="K292" s="13"/>
      <c r="L292" s="13"/>
      <c r="M292" s="13"/>
      <c r="N292" s="13"/>
      <c r="O292" s="13"/>
      <c r="P292" s="8">
        <v>2</v>
      </c>
      <c r="Q292" s="86">
        <v>0.023459999999999998</v>
      </c>
      <c r="R292" s="13"/>
      <c r="S292" s="41">
        <v>0.003544</v>
      </c>
      <c r="T292" s="41">
        <v>0.019916</v>
      </c>
      <c r="U292" s="13"/>
      <c r="V292" s="13"/>
      <c r="W292" s="13"/>
      <c r="X292" s="13"/>
      <c r="Y292" s="13"/>
      <c r="Z292" s="43">
        <v>2011</v>
      </c>
      <c r="AA292" s="87">
        <v>7</v>
      </c>
      <c r="AB292" s="10"/>
      <c r="AC292" s="10"/>
      <c r="AD292" s="10"/>
      <c r="AE292" s="10"/>
      <c r="AF292" s="10"/>
      <c r="AG292" s="10"/>
      <c r="AH292" s="10"/>
      <c r="AI292" s="10"/>
    </row>
    <row r="293" spans="1:35" ht="20.25" customHeight="1">
      <c r="A293" s="10"/>
      <c r="B293" s="88" t="s">
        <v>439</v>
      </c>
      <c r="C293" s="13"/>
      <c r="D293" s="13"/>
      <c r="E293" s="13"/>
      <c r="F293" s="13"/>
      <c r="G293" s="13"/>
      <c r="H293" s="13"/>
      <c r="I293" s="8"/>
      <c r="J293" s="13"/>
      <c r="K293" s="13"/>
      <c r="L293" s="13"/>
      <c r="M293" s="13"/>
      <c r="N293" s="13"/>
      <c r="O293" s="13"/>
      <c r="P293" s="8">
        <v>49</v>
      </c>
      <c r="Q293" s="89">
        <f>SUBTOTAL(9,Q266:Q292)</f>
        <v>0.57834</v>
      </c>
      <c r="R293" s="90"/>
      <c r="S293" s="90">
        <f>SUBTOTAL(9,S266:S292)</f>
        <v>0.08734800000000002</v>
      </c>
      <c r="T293" s="90">
        <f>SUBTOTAL(9,T266:T292)</f>
        <v>0.4909919999999998</v>
      </c>
      <c r="U293" s="13"/>
      <c r="V293" s="13"/>
      <c r="W293" s="13"/>
      <c r="X293" s="13"/>
      <c r="Y293" s="13"/>
      <c r="Z293" s="43"/>
      <c r="AA293" s="43"/>
      <c r="AB293" s="10"/>
      <c r="AC293" s="10"/>
      <c r="AD293" s="10"/>
      <c r="AE293" s="10"/>
      <c r="AF293" s="10"/>
      <c r="AG293" s="10"/>
      <c r="AH293" s="10"/>
      <c r="AI293" s="10"/>
    </row>
    <row r="294" spans="1:35" ht="20.25" customHeight="1">
      <c r="A294" s="91" t="s">
        <v>440</v>
      </c>
      <c r="B294" s="17" t="s">
        <v>121</v>
      </c>
      <c r="C294" s="13"/>
      <c r="D294" s="13"/>
      <c r="E294" s="13"/>
      <c r="F294" s="13"/>
      <c r="G294" s="13"/>
      <c r="H294" s="13"/>
      <c r="I294" s="8"/>
      <c r="J294" s="13"/>
      <c r="K294" s="13"/>
      <c r="L294" s="13"/>
      <c r="M294" s="13"/>
      <c r="N294" s="13"/>
      <c r="O294" s="13"/>
      <c r="P294" s="13"/>
      <c r="Q294" s="86"/>
      <c r="R294" s="13"/>
      <c r="S294" s="41"/>
      <c r="T294" s="41"/>
      <c r="U294" s="13"/>
      <c r="V294" s="13"/>
      <c r="W294" s="13"/>
      <c r="X294" s="13"/>
      <c r="Y294" s="13"/>
      <c r="Z294" s="43"/>
      <c r="AA294" s="43"/>
      <c r="AB294" s="10"/>
      <c r="AC294" s="10"/>
      <c r="AD294" s="10"/>
      <c r="AE294" s="10"/>
      <c r="AF294" s="10"/>
      <c r="AG294" s="10"/>
      <c r="AH294" s="10"/>
      <c r="AI294" s="10"/>
    </row>
    <row r="295" spans="1:35" ht="32.25" customHeight="1">
      <c r="A295" s="84">
        <v>28</v>
      </c>
      <c r="B295" s="17" t="s">
        <v>441</v>
      </c>
      <c r="C295" s="13"/>
      <c r="D295" s="13"/>
      <c r="E295" s="13"/>
      <c r="F295" s="13"/>
      <c r="G295" s="13"/>
      <c r="H295" s="13"/>
      <c r="I295" s="8">
        <v>1</v>
      </c>
      <c r="J295" s="13"/>
      <c r="K295" s="13"/>
      <c r="L295" s="13"/>
      <c r="M295" s="13"/>
      <c r="N295" s="13"/>
      <c r="O295" s="13"/>
      <c r="P295" s="8">
        <v>1</v>
      </c>
      <c r="Q295" s="86">
        <f>S295+T295</f>
        <v>0.012443999999999998</v>
      </c>
      <c r="R295" s="13"/>
      <c r="S295" s="41">
        <v>0.0018759999999999998</v>
      </c>
      <c r="T295" s="41">
        <v>0.010568</v>
      </c>
      <c r="U295" s="13"/>
      <c r="V295" s="13"/>
      <c r="W295" s="13"/>
      <c r="X295" s="13"/>
      <c r="Y295" s="13"/>
      <c r="Z295" s="43">
        <v>2011</v>
      </c>
      <c r="AA295" s="87">
        <v>7</v>
      </c>
      <c r="AB295" s="10"/>
      <c r="AC295" s="10"/>
      <c r="AD295" s="10"/>
      <c r="AE295" s="10"/>
      <c r="AF295" s="10"/>
      <c r="AG295" s="10"/>
      <c r="AH295" s="10"/>
      <c r="AI295" s="10"/>
    </row>
    <row r="296" spans="1:35" ht="32.25" customHeight="1">
      <c r="A296" s="84">
        <v>29</v>
      </c>
      <c r="B296" s="17" t="s">
        <v>442</v>
      </c>
      <c r="C296" s="13"/>
      <c r="D296" s="13"/>
      <c r="E296" s="13"/>
      <c r="F296" s="13"/>
      <c r="G296" s="13"/>
      <c r="H296" s="13"/>
      <c r="I296" s="8">
        <v>1</v>
      </c>
      <c r="J296" s="13"/>
      <c r="K296" s="13"/>
      <c r="L296" s="13"/>
      <c r="M296" s="13"/>
      <c r="N296" s="13"/>
      <c r="O296" s="13"/>
      <c r="P296" s="8">
        <v>1</v>
      </c>
      <c r="Q296" s="86">
        <f>S296+T296</f>
        <v>0.012443999999999998</v>
      </c>
      <c r="R296" s="13"/>
      <c r="S296" s="41">
        <v>0.0018759999999999998</v>
      </c>
      <c r="T296" s="41">
        <v>0.010568</v>
      </c>
      <c r="U296" s="13"/>
      <c r="V296" s="13"/>
      <c r="W296" s="13"/>
      <c r="X296" s="13"/>
      <c r="Y296" s="13"/>
      <c r="Z296" s="43">
        <v>2011</v>
      </c>
      <c r="AA296" s="87">
        <v>7</v>
      </c>
      <c r="AB296" s="10"/>
      <c r="AC296" s="10"/>
      <c r="AD296" s="10"/>
      <c r="AE296" s="10"/>
      <c r="AF296" s="10"/>
      <c r="AG296" s="10"/>
      <c r="AH296" s="10"/>
      <c r="AI296" s="10"/>
    </row>
    <row r="297" spans="1:35" ht="12.75">
      <c r="A297" s="10"/>
      <c r="B297" s="88" t="s">
        <v>439</v>
      </c>
      <c r="C297" s="13"/>
      <c r="D297" s="13"/>
      <c r="E297" s="13"/>
      <c r="F297" s="13"/>
      <c r="G297" s="13"/>
      <c r="H297" s="13"/>
      <c r="I297" s="8"/>
      <c r="J297" s="13"/>
      <c r="K297" s="13"/>
      <c r="L297" s="13"/>
      <c r="M297" s="13"/>
      <c r="N297" s="13"/>
      <c r="O297" s="13"/>
      <c r="P297" s="8">
        <v>2</v>
      </c>
      <c r="Q297" s="86">
        <f>SUBTOTAL(9,Q295:Q296)</f>
        <v>0.024887999999999997</v>
      </c>
      <c r="R297" s="92"/>
      <c r="S297" s="92">
        <f>SUBTOTAL(9,S295:S296)</f>
        <v>0.0037519999999999997</v>
      </c>
      <c r="T297" s="92">
        <f>SUBTOTAL(9,T295:T296)</f>
        <v>0.021136</v>
      </c>
      <c r="U297" s="13"/>
      <c r="V297" s="13"/>
      <c r="W297" s="13"/>
      <c r="X297" s="13"/>
      <c r="Y297" s="13"/>
      <c r="Z297" s="43"/>
      <c r="AA297" s="43"/>
      <c r="AB297" s="10"/>
      <c r="AC297" s="10"/>
      <c r="AD297" s="10"/>
      <c r="AE297" s="10"/>
      <c r="AF297" s="10"/>
      <c r="AG297" s="10"/>
      <c r="AH297" s="10"/>
      <c r="AI297" s="10"/>
    </row>
    <row r="298" spans="1:35" ht="12.75">
      <c r="A298" s="91" t="s">
        <v>443</v>
      </c>
      <c r="B298" s="17" t="s">
        <v>47</v>
      </c>
      <c r="C298" s="13"/>
      <c r="D298" s="13"/>
      <c r="E298" s="13"/>
      <c r="F298" s="13"/>
      <c r="G298" s="13"/>
      <c r="H298" s="13"/>
      <c r="I298" s="8"/>
      <c r="J298" s="13"/>
      <c r="K298" s="13"/>
      <c r="L298" s="13"/>
      <c r="M298" s="13"/>
      <c r="N298" s="13"/>
      <c r="O298" s="13"/>
      <c r="P298" s="13"/>
      <c r="Q298" s="86"/>
      <c r="R298" s="13"/>
      <c r="S298" s="41"/>
      <c r="T298" s="41"/>
      <c r="U298" s="13"/>
      <c r="V298" s="13"/>
      <c r="W298" s="13"/>
      <c r="X298" s="13"/>
      <c r="Y298" s="13"/>
      <c r="Z298" s="43"/>
      <c r="AA298" s="43"/>
      <c r="AB298" s="10"/>
      <c r="AC298" s="10"/>
      <c r="AD298" s="10"/>
      <c r="AE298" s="10"/>
      <c r="AF298" s="10"/>
      <c r="AG298" s="10"/>
      <c r="AH298" s="10"/>
      <c r="AI298" s="10"/>
    </row>
    <row r="299" spans="1:35" ht="12.75">
      <c r="A299" s="91" t="s">
        <v>444</v>
      </c>
      <c r="B299" s="17" t="s">
        <v>445</v>
      </c>
      <c r="C299" s="13"/>
      <c r="D299" s="13"/>
      <c r="E299" s="13"/>
      <c r="F299" s="13"/>
      <c r="G299" s="13"/>
      <c r="H299" s="13"/>
      <c r="I299" s="8"/>
      <c r="J299" s="13"/>
      <c r="K299" s="13"/>
      <c r="L299" s="13"/>
      <c r="M299" s="13"/>
      <c r="N299" s="13"/>
      <c r="O299" s="13"/>
      <c r="P299" s="13"/>
      <c r="Q299" s="86"/>
      <c r="R299" s="13"/>
      <c r="S299" s="41"/>
      <c r="T299" s="41"/>
      <c r="U299" s="13"/>
      <c r="V299" s="13"/>
      <c r="W299" s="13"/>
      <c r="X299" s="13"/>
      <c r="Y299" s="13"/>
      <c r="Z299" s="43"/>
      <c r="AA299" s="43"/>
      <c r="AB299" s="10"/>
      <c r="AC299" s="10"/>
      <c r="AD299" s="10"/>
      <c r="AE299" s="10"/>
      <c r="AF299" s="10"/>
      <c r="AG299" s="10"/>
      <c r="AH299" s="10"/>
      <c r="AI299" s="10"/>
    </row>
    <row r="300" spans="1:35" ht="29.25" customHeight="1">
      <c r="A300" s="84">
        <v>30</v>
      </c>
      <c r="B300" s="17" t="s">
        <v>446</v>
      </c>
      <c r="C300" s="13"/>
      <c r="D300" s="13"/>
      <c r="E300" s="13"/>
      <c r="F300" s="13"/>
      <c r="G300" s="13"/>
      <c r="H300" s="13"/>
      <c r="I300" s="8">
        <v>1</v>
      </c>
      <c r="J300" s="13"/>
      <c r="K300" s="13"/>
      <c r="L300" s="13"/>
      <c r="M300" s="13"/>
      <c r="N300" s="13"/>
      <c r="O300" s="13"/>
      <c r="P300" s="8">
        <v>1</v>
      </c>
      <c r="Q300" s="86">
        <f aca="true" t="shared" si="0" ref="Q300:Q323">S300+T300</f>
        <v>0.012443999999999998</v>
      </c>
      <c r="R300" s="13"/>
      <c r="S300" s="41">
        <v>0.0018759999999999998</v>
      </c>
      <c r="T300" s="41">
        <v>0.010568</v>
      </c>
      <c r="U300" s="13"/>
      <c r="V300" s="13"/>
      <c r="W300" s="13"/>
      <c r="X300" s="13"/>
      <c r="Y300" s="13"/>
      <c r="Z300" s="43">
        <v>2011</v>
      </c>
      <c r="AA300" s="87">
        <v>7</v>
      </c>
      <c r="AB300" s="10"/>
      <c r="AC300" s="10"/>
      <c r="AD300" s="10"/>
      <c r="AE300" s="10"/>
      <c r="AF300" s="10"/>
      <c r="AG300" s="10"/>
      <c r="AH300" s="10"/>
      <c r="AI300" s="10"/>
    </row>
    <row r="301" spans="1:35" ht="29.25" customHeight="1">
      <c r="A301" s="84">
        <v>31</v>
      </c>
      <c r="B301" s="17" t="s">
        <v>447</v>
      </c>
      <c r="C301" s="13"/>
      <c r="D301" s="13"/>
      <c r="E301" s="13"/>
      <c r="F301" s="13"/>
      <c r="G301" s="13"/>
      <c r="H301" s="13"/>
      <c r="I301" s="8">
        <v>1</v>
      </c>
      <c r="J301" s="13"/>
      <c r="K301" s="13"/>
      <c r="L301" s="13"/>
      <c r="M301" s="13"/>
      <c r="N301" s="13"/>
      <c r="O301" s="13"/>
      <c r="P301" s="8">
        <v>1</v>
      </c>
      <c r="Q301" s="86">
        <f t="shared" si="0"/>
        <v>0.012443999999999998</v>
      </c>
      <c r="R301" s="13"/>
      <c r="S301" s="41">
        <v>0.0018759999999999998</v>
      </c>
      <c r="T301" s="41">
        <v>0.010568</v>
      </c>
      <c r="U301" s="13"/>
      <c r="V301" s="13"/>
      <c r="W301" s="13"/>
      <c r="X301" s="13"/>
      <c r="Y301" s="13"/>
      <c r="Z301" s="43">
        <v>2011</v>
      </c>
      <c r="AA301" s="87">
        <v>7</v>
      </c>
      <c r="AB301" s="10"/>
      <c r="AC301" s="10"/>
      <c r="AD301" s="10"/>
      <c r="AE301" s="10"/>
      <c r="AF301" s="10"/>
      <c r="AG301" s="10"/>
      <c r="AH301" s="10"/>
      <c r="AI301" s="10"/>
    </row>
    <row r="302" spans="1:35" ht="29.25" customHeight="1">
      <c r="A302" s="84">
        <v>32</v>
      </c>
      <c r="B302" s="17" t="s">
        <v>448</v>
      </c>
      <c r="C302" s="13"/>
      <c r="D302" s="13"/>
      <c r="E302" s="13"/>
      <c r="F302" s="13"/>
      <c r="G302" s="13"/>
      <c r="H302" s="13"/>
      <c r="I302" s="8">
        <v>1</v>
      </c>
      <c r="J302" s="13"/>
      <c r="K302" s="13"/>
      <c r="L302" s="13"/>
      <c r="M302" s="13"/>
      <c r="N302" s="13"/>
      <c r="O302" s="13"/>
      <c r="P302" s="8">
        <v>1</v>
      </c>
      <c r="Q302" s="86">
        <f t="shared" si="0"/>
        <v>0.012443999999999998</v>
      </c>
      <c r="R302" s="13"/>
      <c r="S302" s="41">
        <v>0.0018759999999999998</v>
      </c>
      <c r="T302" s="41">
        <v>0.010568</v>
      </c>
      <c r="U302" s="13"/>
      <c r="V302" s="13"/>
      <c r="W302" s="13"/>
      <c r="X302" s="13"/>
      <c r="Y302" s="13"/>
      <c r="Z302" s="43">
        <v>2011</v>
      </c>
      <c r="AA302" s="87">
        <v>7</v>
      </c>
      <c r="AB302" s="10"/>
      <c r="AC302" s="10"/>
      <c r="AD302" s="10"/>
      <c r="AE302" s="10"/>
      <c r="AF302" s="10"/>
      <c r="AG302" s="10"/>
      <c r="AH302" s="10"/>
      <c r="AI302" s="10"/>
    </row>
    <row r="303" spans="1:35" ht="29.25" customHeight="1">
      <c r="A303" s="84">
        <v>33</v>
      </c>
      <c r="B303" s="17" t="s">
        <v>449</v>
      </c>
      <c r="C303" s="13"/>
      <c r="D303" s="13"/>
      <c r="E303" s="13"/>
      <c r="F303" s="13"/>
      <c r="G303" s="13"/>
      <c r="H303" s="13"/>
      <c r="I303" s="8">
        <v>1</v>
      </c>
      <c r="J303" s="13"/>
      <c r="K303" s="13"/>
      <c r="L303" s="13"/>
      <c r="M303" s="13"/>
      <c r="N303" s="13"/>
      <c r="O303" s="13"/>
      <c r="P303" s="8">
        <v>1</v>
      </c>
      <c r="Q303" s="86">
        <f t="shared" si="0"/>
        <v>0.012443999999999998</v>
      </c>
      <c r="R303" s="13"/>
      <c r="S303" s="41">
        <v>0.0018759999999999998</v>
      </c>
      <c r="T303" s="41">
        <v>0.010568</v>
      </c>
      <c r="U303" s="13"/>
      <c r="V303" s="13"/>
      <c r="W303" s="13"/>
      <c r="X303" s="13"/>
      <c r="Y303" s="13"/>
      <c r="Z303" s="43">
        <v>2011</v>
      </c>
      <c r="AA303" s="87">
        <v>7</v>
      </c>
      <c r="AB303" s="10"/>
      <c r="AC303" s="10"/>
      <c r="AD303" s="10"/>
      <c r="AE303" s="10"/>
      <c r="AF303" s="10"/>
      <c r="AG303" s="10"/>
      <c r="AH303" s="10"/>
      <c r="AI303" s="10"/>
    </row>
    <row r="304" spans="1:35" ht="29.25" customHeight="1">
      <c r="A304" s="84">
        <v>34</v>
      </c>
      <c r="B304" s="17" t="s">
        <v>450</v>
      </c>
      <c r="C304" s="13"/>
      <c r="D304" s="13"/>
      <c r="E304" s="13"/>
      <c r="F304" s="13"/>
      <c r="G304" s="13"/>
      <c r="H304" s="13"/>
      <c r="I304" s="8">
        <v>1</v>
      </c>
      <c r="J304" s="13"/>
      <c r="K304" s="13"/>
      <c r="L304" s="13"/>
      <c r="M304" s="13"/>
      <c r="N304" s="13"/>
      <c r="O304" s="13"/>
      <c r="P304" s="8">
        <v>1</v>
      </c>
      <c r="Q304" s="86">
        <f t="shared" si="0"/>
        <v>0.012443999999999998</v>
      </c>
      <c r="R304" s="13"/>
      <c r="S304" s="41">
        <v>0.0018759999999999998</v>
      </c>
      <c r="T304" s="41">
        <v>0.010568</v>
      </c>
      <c r="U304" s="13"/>
      <c r="V304" s="13"/>
      <c r="W304" s="13"/>
      <c r="X304" s="13"/>
      <c r="Y304" s="13"/>
      <c r="Z304" s="43">
        <v>2011</v>
      </c>
      <c r="AA304" s="87">
        <v>7</v>
      </c>
      <c r="AB304" s="10"/>
      <c r="AC304" s="10"/>
      <c r="AD304" s="10"/>
      <c r="AE304" s="10"/>
      <c r="AF304" s="10"/>
      <c r="AG304" s="10"/>
      <c r="AH304" s="10"/>
      <c r="AI304" s="10"/>
    </row>
    <row r="305" spans="1:35" ht="29.25" customHeight="1">
      <c r="A305" s="84">
        <v>35</v>
      </c>
      <c r="B305" s="17" t="s">
        <v>451</v>
      </c>
      <c r="C305" s="13"/>
      <c r="D305" s="13"/>
      <c r="E305" s="13"/>
      <c r="F305" s="13"/>
      <c r="G305" s="13"/>
      <c r="H305" s="13"/>
      <c r="I305" s="8">
        <v>1</v>
      </c>
      <c r="J305" s="13"/>
      <c r="K305" s="13"/>
      <c r="L305" s="13"/>
      <c r="M305" s="13"/>
      <c r="N305" s="13"/>
      <c r="O305" s="13"/>
      <c r="P305" s="8">
        <v>1</v>
      </c>
      <c r="Q305" s="86">
        <f t="shared" si="0"/>
        <v>0.012443999999999998</v>
      </c>
      <c r="R305" s="13"/>
      <c r="S305" s="41">
        <v>0.0018759999999999998</v>
      </c>
      <c r="T305" s="41">
        <v>0.010568</v>
      </c>
      <c r="U305" s="13"/>
      <c r="V305" s="13"/>
      <c r="W305" s="13"/>
      <c r="X305" s="13"/>
      <c r="Y305" s="13"/>
      <c r="Z305" s="43">
        <v>2011</v>
      </c>
      <c r="AA305" s="87">
        <v>7</v>
      </c>
      <c r="AB305" s="10"/>
      <c r="AC305" s="10"/>
      <c r="AD305" s="10"/>
      <c r="AE305" s="10"/>
      <c r="AF305" s="10"/>
      <c r="AG305" s="10"/>
      <c r="AH305" s="10"/>
      <c r="AI305" s="10"/>
    </row>
    <row r="306" spans="1:35" ht="29.25" customHeight="1">
      <c r="A306" s="84">
        <v>36</v>
      </c>
      <c r="B306" s="17" t="s">
        <v>452</v>
      </c>
      <c r="C306" s="13"/>
      <c r="D306" s="13"/>
      <c r="E306" s="13"/>
      <c r="F306" s="13"/>
      <c r="G306" s="13"/>
      <c r="H306" s="13"/>
      <c r="I306" s="8">
        <v>1</v>
      </c>
      <c r="J306" s="13"/>
      <c r="K306" s="13"/>
      <c r="L306" s="13"/>
      <c r="M306" s="13"/>
      <c r="N306" s="13"/>
      <c r="O306" s="13"/>
      <c r="P306" s="8">
        <v>1</v>
      </c>
      <c r="Q306" s="86">
        <f t="shared" si="0"/>
        <v>0.012443999999999998</v>
      </c>
      <c r="R306" s="13"/>
      <c r="S306" s="41">
        <v>0.0018759999999999998</v>
      </c>
      <c r="T306" s="41">
        <v>0.010568</v>
      </c>
      <c r="U306" s="13"/>
      <c r="V306" s="13"/>
      <c r="W306" s="13"/>
      <c r="X306" s="13"/>
      <c r="Y306" s="13"/>
      <c r="Z306" s="43">
        <v>2011</v>
      </c>
      <c r="AA306" s="87">
        <v>7</v>
      </c>
      <c r="AB306" s="10"/>
      <c r="AC306" s="10"/>
      <c r="AD306" s="10"/>
      <c r="AE306" s="10"/>
      <c r="AF306" s="10"/>
      <c r="AG306" s="10"/>
      <c r="AH306" s="10"/>
      <c r="AI306" s="10"/>
    </row>
    <row r="307" spans="1:35" ht="29.25" customHeight="1">
      <c r="A307" s="84">
        <v>37</v>
      </c>
      <c r="B307" s="17" t="s">
        <v>453</v>
      </c>
      <c r="C307" s="13"/>
      <c r="D307" s="13"/>
      <c r="E307" s="13"/>
      <c r="F307" s="13"/>
      <c r="G307" s="13"/>
      <c r="H307" s="13"/>
      <c r="I307" s="8">
        <v>1</v>
      </c>
      <c r="J307" s="13"/>
      <c r="K307" s="13"/>
      <c r="L307" s="13"/>
      <c r="M307" s="13"/>
      <c r="N307" s="13"/>
      <c r="O307" s="13"/>
      <c r="P307" s="8">
        <v>1</v>
      </c>
      <c r="Q307" s="86">
        <f t="shared" si="0"/>
        <v>0.012443999999999998</v>
      </c>
      <c r="R307" s="13"/>
      <c r="S307" s="41">
        <v>0.0018759999999999998</v>
      </c>
      <c r="T307" s="41">
        <v>0.010568</v>
      </c>
      <c r="U307" s="13"/>
      <c r="V307" s="13"/>
      <c r="W307" s="13"/>
      <c r="X307" s="13"/>
      <c r="Y307" s="13"/>
      <c r="Z307" s="43">
        <v>2011</v>
      </c>
      <c r="AA307" s="87">
        <v>7</v>
      </c>
      <c r="AB307" s="10"/>
      <c r="AC307" s="10"/>
      <c r="AD307" s="10"/>
      <c r="AE307" s="10"/>
      <c r="AF307" s="10"/>
      <c r="AG307" s="10"/>
      <c r="AH307" s="10"/>
      <c r="AI307" s="10"/>
    </row>
    <row r="308" spans="1:35" ht="29.25" customHeight="1">
      <c r="A308" s="84">
        <v>38</v>
      </c>
      <c r="B308" s="17" t="s">
        <v>454</v>
      </c>
      <c r="C308" s="13"/>
      <c r="D308" s="13"/>
      <c r="E308" s="13"/>
      <c r="F308" s="13"/>
      <c r="G308" s="13"/>
      <c r="H308" s="13"/>
      <c r="I308" s="8">
        <v>1</v>
      </c>
      <c r="J308" s="13"/>
      <c r="K308" s="13"/>
      <c r="L308" s="13"/>
      <c r="M308" s="13"/>
      <c r="N308" s="13"/>
      <c r="O308" s="13"/>
      <c r="P308" s="8">
        <v>1</v>
      </c>
      <c r="Q308" s="86">
        <f t="shared" si="0"/>
        <v>0.012443999999999998</v>
      </c>
      <c r="R308" s="13"/>
      <c r="S308" s="41">
        <v>0.0018759999999999998</v>
      </c>
      <c r="T308" s="41">
        <v>0.010568</v>
      </c>
      <c r="U308" s="13"/>
      <c r="V308" s="13"/>
      <c r="W308" s="13"/>
      <c r="X308" s="13"/>
      <c r="Y308" s="13"/>
      <c r="Z308" s="43">
        <v>2011</v>
      </c>
      <c r="AA308" s="87">
        <v>7</v>
      </c>
      <c r="AB308" s="10"/>
      <c r="AC308" s="10"/>
      <c r="AD308" s="10"/>
      <c r="AE308" s="10"/>
      <c r="AF308" s="10"/>
      <c r="AG308" s="10"/>
      <c r="AH308" s="10"/>
      <c r="AI308" s="10"/>
    </row>
    <row r="309" spans="1:35" ht="29.25" customHeight="1">
      <c r="A309" s="84">
        <v>39</v>
      </c>
      <c r="B309" s="17" t="s">
        <v>455</v>
      </c>
      <c r="C309" s="13"/>
      <c r="D309" s="13"/>
      <c r="E309" s="13"/>
      <c r="F309" s="13"/>
      <c r="G309" s="13"/>
      <c r="H309" s="13"/>
      <c r="I309" s="8">
        <v>1</v>
      </c>
      <c r="J309" s="13"/>
      <c r="K309" s="13"/>
      <c r="L309" s="13"/>
      <c r="M309" s="13"/>
      <c r="N309" s="13"/>
      <c r="O309" s="13"/>
      <c r="P309" s="8">
        <v>1</v>
      </c>
      <c r="Q309" s="86">
        <f t="shared" si="0"/>
        <v>0.012443999999999998</v>
      </c>
      <c r="R309" s="13"/>
      <c r="S309" s="41">
        <v>0.0018759999999999998</v>
      </c>
      <c r="T309" s="41">
        <v>0.010568</v>
      </c>
      <c r="U309" s="13"/>
      <c r="V309" s="13"/>
      <c r="W309" s="13"/>
      <c r="X309" s="13"/>
      <c r="Y309" s="13"/>
      <c r="Z309" s="43">
        <v>2011</v>
      </c>
      <c r="AA309" s="87">
        <v>7</v>
      </c>
      <c r="AB309" s="10"/>
      <c r="AC309" s="10"/>
      <c r="AD309" s="10"/>
      <c r="AE309" s="10"/>
      <c r="AF309" s="10"/>
      <c r="AG309" s="10"/>
      <c r="AH309" s="10"/>
      <c r="AI309" s="10"/>
    </row>
    <row r="310" spans="1:35" ht="29.25" customHeight="1">
      <c r="A310" s="84">
        <v>40</v>
      </c>
      <c r="B310" s="17" t="s">
        <v>456</v>
      </c>
      <c r="C310" s="13"/>
      <c r="D310" s="13"/>
      <c r="E310" s="13"/>
      <c r="F310" s="13"/>
      <c r="G310" s="13"/>
      <c r="H310" s="13"/>
      <c r="I310" s="8">
        <v>1</v>
      </c>
      <c r="J310" s="13"/>
      <c r="K310" s="13"/>
      <c r="L310" s="13"/>
      <c r="M310" s="13"/>
      <c r="N310" s="13"/>
      <c r="O310" s="13"/>
      <c r="P310" s="8">
        <v>1</v>
      </c>
      <c r="Q310" s="86">
        <f t="shared" si="0"/>
        <v>0.012443999999999998</v>
      </c>
      <c r="R310" s="13"/>
      <c r="S310" s="41">
        <v>0.0018759999999999998</v>
      </c>
      <c r="T310" s="41">
        <v>0.010568</v>
      </c>
      <c r="U310" s="13"/>
      <c r="V310" s="13"/>
      <c r="W310" s="13"/>
      <c r="X310" s="13"/>
      <c r="Y310" s="13"/>
      <c r="Z310" s="43">
        <v>2011</v>
      </c>
      <c r="AA310" s="87">
        <v>7</v>
      </c>
      <c r="AB310" s="10"/>
      <c r="AC310" s="10"/>
      <c r="AD310" s="10"/>
      <c r="AE310" s="10"/>
      <c r="AF310" s="10"/>
      <c r="AG310" s="10"/>
      <c r="AH310" s="10"/>
      <c r="AI310" s="10"/>
    </row>
    <row r="311" spans="1:35" ht="29.25" customHeight="1">
      <c r="A311" s="84">
        <v>41</v>
      </c>
      <c r="B311" s="17" t="s">
        <v>457</v>
      </c>
      <c r="C311" s="13"/>
      <c r="D311" s="13"/>
      <c r="E311" s="13"/>
      <c r="F311" s="13"/>
      <c r="G311" s="13"/>
      <c r="H311" s="13"/>
      <c r="I311" s="8">
        <v>1</v>
      </c>
      <c r="J311" s="13"/>
      <c r="K311" s="13"/>
      <c r="L311" s="13"/>
      <c r="M311" s="13"/>
      <c r="N311" s="13"/>
      <c r="O311" s="13"/>
      <c r="P311" s="8">
        <v>1</v>
      </c>
      <c r="Q311" s="86">
        <f t="shared" si="0"/>
        <v>0.012443999999999998</v>
      </c>
      <c r="R311" s="13"/>
      <c r="S311" s="41">
        <v>0.0018759999999999998</v>
      </c>
      <c r="T311" s="41">
        <v>0.010568</v>
      </c>
      <c r="U311" s="13"/>
      <c r="V311" s="13"/>
      <c r="W311" s="13"/>
      <c r="X311" s="13"/>
      <c r="Y311" s="13"/>
      <c r="Z311" s="43">
        <v>2011</v>
      </c>
      <c r="AA311" s="87">
        <v>7</v>
      </c>
      <c r="AB311" s="10"/>
      <c r="AC311" s="10"/>
      <c r="AD311" s="10"/>
      <c r="AE311" s="10"/>
      <c r="AF311" s="10"/>
      <c r="AG311" s="10"/>
      <c r="AH311" s="10"/>
      <c r="AI311" s="10"/>
    </row>
    <row r="312" spans="1:35" ht="29.25" customHeight="1">
      <c r="A312" s="84">
        <v>42</v>
      </c>
      <c r="B312" s="17" t="s">
        <v>458</v>
      </c>
      <c r="C312" s="13"/>
      <c r="D312" s="13"/>
      <c r="E312" s="13"/>
      <c r="F312" s="13"/>
      <c r="G312" s="13"/>
      <c r="H312" s="13"/>
      <c r="I312" s="8">
        <v>1</v>
      </c>
      <c r="J312" s="13"/>
      <c r="K312" s="13"/>
      <c r="L312" s="13"/>
      <c r="M312" s="13"/>
      <c r="N312" s="13"/>
      <c r="O312" s="13"/>
      <c r="P312" s="8">
        <v>1</v>
      </c>
      <c r="Q312" s="86">
        <f t="shared" si="0"/>
        <v>0.012443999999999998</v>
      </c>
      <c r="R312" s="13"/>
      <c r="S312" s="41">
        <v>0.0018759999999999998</v>
      </c>
      <c r="T312" s="41">
        <v>0.010568</v>
      </c>
      <c r="U312" s="13"/>
      <c r="V312" s="13"/>
      <c r="W312" s="13"/>
      <c r="X312" s="13"/>
      <c r="Y312" s="13"/>
      <c r="Z312" s="43">
        <v>2011</v>
      </c>
      <c r="AA312" s="87">
        <v>7</v>
      </c>
      <c r="AB312" s="10"/>
      <c r="AC312" s="10"/>
      <c r="AD312" s="10"/>
      <c r="AE312" s="10"/>
      <c r="AF312" s="10"/>
      <c r="AG312" s="10"/>
      <c r="AH312" s="10"/>
      <c r="AI312" s="10"/>
    </row>
    <row r="313" spans="1:35" ht="29.25" customHeight="1">
      <c r="A313" s="84">
        <v>43</v>
      </c>
      <c r="B313" s="17" t="s">
        <v>459</v>
      </c>
      <c r="C313" s="13"/>
      <c r="D313" s="13"/>
      <c r="E313" s="13"/>
      <c r="F313" s="13"/>
      <c r="G313" s="13"/>
      <c r="H313" s="13"/>
      <c r="I313" s="8">
        <v>1</v>
      </c>
      <c r="J313" s="13"/>
      <c r="K313" s="13"/>
      <c r="L313" s="13"/>
      <c r="M313" s="13"/>
      <c r="N313" s="13"/>
      <c r="O313" s="13"/>
      <c r="P313" s="8">
        <v>1</v>
      </c>
      <c r="Q313" s="86">
        <f t="shared" si="0"/>
        <v>0.012443999999999998</v>
      </c>
      <c r="R313" s="13"/>
      <c r="S313" s="41">
        <v>0.0018759999999999998</v>
      </c>
      <c r="T313" s="41">
        <v>0.010568</v>
      </c>
      <c r="U313" s="13"/>
      <c r="V313" s="13"/>
      <c r="W313" s="13"/>
      <c r="X313" s="13"/>
      <c r="Y313" s="13"/>
      <c r="Z313" s="43">
        <v>2011</v>
      </c>
      <c r="AA313" s="87">
        <v>7</v>
      </c>
      <c r="AB313" s="10"/>
      <c r="AC313" s="10"/>
      <c r="AD313" s="10"/>
      <c r="AE313" s="10"/>
      <c r="AF313" s="10"/>
      <c r="AG313" s="10"/>
      <c r="AH313" s="10"/>
      <c r="AI313" s="10"/>
    </row>
    <row r="314" spans="1:35" ht="29.25" customHeight="1">
      <c r="A314" s="84">
        <v>44</v>
      </c>
      <c r="B314" s="17" t="s">
        <v>460</v>
      </c>
      <c r="C314" s="13"/>
      <c r="D314" s="13"/>
      <c r="E314" s="13"/>
      <c r="F314" s="13"/>
      <c r="G314" s="13"/>
      <c r="H314" s="13"/>
      <c r="I314" s="8">
        <v>1</v>
      </c>
      <c r="J314" s="13"/>
      <c r="K314" s="13"/>
      <c r="L314" s="13"/>
      <c r="M314" s="13"/>
      <c r="N314" s="13"/>
      <c r="O314" s="13"/>
      <c r="P314" s="8">
        <v>1</v>
      </c>
      <c r="Q314" s="86">
        <f t="shared" si="0"/>
        <v>0.012443999999999998</v>
      </c>
      <c r="R314" s="13"/>
      <c r="S314" s="41">
        <v>0.0018759999999999998</v>
      </c>
      <c r="T314" s="41">
        <v>0.010568</v>
      </c>
      <c r="U314" s="13"/>
      <c r="V314" s="13"/>
      <c r="W314" s="13"/>
      <c r="X314" s="13"/>
      <c r="Y314" s="13"/>
      <c r="Z314" s="43">
        <v>2011</v>
      </c>
      <c r="AA314" s="87">
        <v>7</v>
      </c>
      <c r="AB314" s="10"/>
      <c r="AC314" s="10"/>
      <c r="AD314" s="10"/>
      <c r="AE314" s="10"/>
      <c r="AF314" s="10"/>
      <c r="AG314" s="10"/>
      <c r="AH314" s="10"/>
      <c r="AI314" s="10"/>
    </row>
    <row r="315" spans="1:35" ht="29.25" customHeight="1">
      <c r="A315" s="84">
        <v>45</v>
      </c>
      <c r="B315" s="17" t="s">
        <v>461</v>
      </c>
      <c r="C315" s="13"/>
      <c r="D315" s="13"/>
      <c r="E315" s="13"/>
      <c r="F315" s="13"/>
      <c r="G315" s="13"/>
      <c r="H315" s="13"/>
      <c r="I315" s="8">
        <v>1</v>
      </c>
      <c r="J315" s="13"/>
      <c r="K315" s="13"/>
      <c r="L315" s="13"/>
      <c r="M315" s="13"/>
      <c r="N315" s="13"/>
      <c r="O315" s="13"/>
      <c r="P315" s="8">
        <v>1</v>
      </c>
      <c r="Q315" s="86">
        <f t="shared" si="0"/>
        <v>0.012443999999999998</v>
      </c>
      <c r="R315" s="13"/>
      <c r="S315" s="41">
        <v>0.0018759999999999998</v>
      </c>
      <c r="T315" s="41">
        <v>0.010568</v>
      </c>
      <c r="U315" s="13"/>
      <c r="V315" s="13"/>
      <c r="W315" s="13"/>
      <c r="X315" s="13"/>
      <c r="Y315" s="13"/>
      <c r="Z315" s="43">
        <v>2011</v>
      </c>
      <c r="AA315" s="87">
        <v>7</v>
      </c>
      <c r="AB315" s="10"/>
      <c r="AC315" s="10"/>
      <c r="AD315" s="10"/>
      <c r="AE315" s="10"/>
      <c r="AF315" s="10"/>
      <c r="AG315" s="10"/>
      <c r="AH315" s="10"/>
      <c r="AI315" s="10"/>
    </row>
    <row r="316" spans="1:35" ht="29.25" customHeight="1">
      <c r="A316" s="84">
        <v>46</v>
      </c>
      <c r="B316" s="17" t="s">
        <v>462</v>
      </c>
      <c r="C316" s="13"/>
      <c r="D316" s="13"/>
      <c r="E316" s="13"/>
      <c r="F316" s="13"/>
      <c r="G316" s="13"/>
      <c r="H316" s="13"/>
      <c r="I316" s="8">
        <v>1</v>
      </c>
      <c r="J316" s="13"/>
      <c r="K316" s="13"/>
      <c r="L316" s="13"/>
      <c r="M316" s="13"/>
      <c r="N316" s="13"/>
      <c r="O316" s="13"/>
      <c r="P316" s="8">
        <v>1</v>
      </c>
      <c r="Q316" s="86">
        <f t="shared" si="0"/>
        <v>0.012443999999999998</v>
      </c>
      <c r="R316" s="13"/>
      <c r="S316" s="41">
        <v>0.0018759999999999998</v>
      </c>
      <c r="T316" s="41">
        <v>0.010568</v>
      </c>
      <c r="U316" s="13"/>
      <c r="V316" s="13"/>
      <c r="W316" s="13"/>
      <c r="X316" s="13"/>
      <c r="Y316" s="13"/>
      <c r="Z316" s="43">
        <v>2011</v>
      </c>
      <c r="AA316" s="87">
        <v>7</v>
      </c>
      <c r="AB316" s="10"/>
      <c r="AC316" s="10"/>
      <c r="AD316" s="10"/>
      <c r="AE316" s="10"/>
      <c r="AF316" s="10"/>
      <c r="AG316" s="10"/>
      <c r="AH316" s="10"/>
      <c r="AI316" s="10"/>
    </row>
    <row r="317" spans="1:35" ht="29.25" customHeight="1">
      <c r="A317" s="84">
        <v>47</v>
      </c>
      <c r="B317" s="17" t="s">
        <v>463</v>
      </c>
      <c r="C317" s="13"/>
      <c r="D317" s="13"/>
      <c r="E317" s="13"/>
      <c r="F317" s="13"/>
      <c r="G317" s="13"/>
      <c r="H317" s="13"/>
      <c r="I317" s="8">
        <v>1</v>
      </c>
      <c r="J317" s="13"/>
      <c r="K317" s="13"/>
      <c r="L317" s="13"/>
      <c r="M317" s="13"/>
      <c r="N317" s="13"/>
      <c r="O317" s="13"/>
      <c r="P317" s="8">
        <v>1</v>
      </c>
      <c r="Q317" s="86">
        <f t="shared" si="0"/>
        <v>0.012443999999999998</v>
      </c>
      <c r="R317" s="13"/>
      <c r="S317" s="41">
        <v>0.0018759999999999998</v>
      </c>
      <c r="T317" s="41">
        <v>0.010568</v>
      </c>
      <c r="U317" s="13"/>
      <c r="V317" s="13"/>
      <c r="W317" s="13"/>
      <c r="X317" s="13"/>
      <c r="Y317" s="13"/>
      <c r="Z317" s="43">
        <v>2011</v>
      </c>
      <c r="AA317" s="87">
        <v>7</v>
      </c>
      <c r="AB317" s="10"/>
      <c r="AC317" s="10"/>
      <c r="AD317" s="10"/>
      <c r="AE317" s="10"/>
      <c r="AF317" s="10"/>
      <c r="AG317" s="10"/>
      <c r="AH317" s="10"/>
      <c r="AI317" s="10"/>
    </row>
    <row r="318" spans="1:35" ht="29.25" customHeight="1">
      <c r="A318" s="84">
        <v>48</v>
      </c>
      <c r="B318" s="17" t="s">
        <v>464</v>
      </c>
      <c r="C318" s="13"/>
      <c r="D318" s="13"/>
      <c r="E318" s="13"/>
      <c r="F318" s="13"/>
      <c r="G318" s="13"/>
      <c r="H318" s="13"/>
      <c r="I318" s="8">
        <v>1</v>
      </c>
      <c r="J318" s="13"/>
      <c r="K318" s="13"/>
      <c r="L318" s="13"/>
      <c r="M318" s="13"/>
      <c r="N318" s="13"/>
      <c r="O318" s="13"/>
      <c r="P318" s="8">
        <v>1</v>
      </c>
      <c r="Q318" s="86">
        <f t="shared" si="0"/>
        <v>0.012443999999999998</v>
      </c>
      <c r="R318" s="13"/>
      <c r="S318" s="41">
        <v>0.0018759999999999998</v>
      </c>
      <c r="T318" s="41">
        <v>0.010568</v>
      </c>
      <c r="U318" s="13"/>
      <c r="V318" s="13"/>
      <c r="W318" s="13"/>
      <c r="X318" s="13"/>
      <c r="Y318" s="13"/>
      <c r="Z318" s="43">
        <v>2011</v>
      </c>
      <c r="AA318" s="87">
        <v>7</v>
      </c>
      <c r="AB318" s="10"/>
      <c r="AC318" s="10"/>
      <c r="AD318" s="10"/>
      <c r="AE318" s="10"/>
      <c r="AF318" s="10"/>
      <c r="AG318" s="10"/>
      <c r="AH318" s="10"/>
      <c r="AI318" s="10"/>
    </row>
    <row r="319" spans="1:35" ht="29.25" customHeight="1">
      <c r="A319" s="84">
        <v>49</v>
      </c>
      <c r="B319" s="17" t="s">
        <v>465</v>
      </c>
      <c r="C319" s="13"/>
      <c r="D319" s="13"/>
      <c r="E319" s="13"/>
      <c r="F319" s="13"/>
      <c r="G319" s="13"/>
      <c r="H319" s="13"/>
      <c r="I319" s="8">
        <v>1</v>
      </c>
      <c r="J319" s="13"/>
      <c r="K319" s="13"/>
      <c r="L319" s="13"/>
      <c r="M319" s="13"/>
      <c r="N319" s="13"/>
      <c r="O319" s="13"/>
      <c r="P319" s="8">
        <v>1</v>
      </c>
      <c r="Q319" s="86">
        <f t="shared" si="0"/>
        <v>0.012443999999999998</v>
      </c>
      <c r="R319" s="13"/>
      <c r="S319" s="41">
        <v>0.0018759999999999998</v>
      </c>
      <c r="T319" s="41">
        <v>0.010568</v>
      </c>
      <c r="U319" s="13"/>
      <c r="V319" s="13"/>
      <c r="W319" s="13"/>
      <c r="X319" s="13"/>
      <c r="Y319" s="13"/>
      <c r="Z319" s="43">
        <v>2011</v>
      </c>
      <c r="AA319" s="87">
        <v>7</v>
      </c>
      <c r="AB319" s="10"/>
      <c r="AC319" s="10"/>
      <c r="AD319" s="10"/>
      <c r="AE319" s="10"/>
      <c r="AF319" s="10"/>
      <c r="AG319" s="10"/>
      <c r="AH319" s="10"/>
      <c r="AI319" s="10"/>
    </row>
    <row r="320" spans="1:35" ht="29.25" customHeight="1">
      <c r="A320" s="84">
        <v>50</v>
      </c>
      <c r="B320" s="17" t="s">
        <v>466</v>
      </c>
      <c r="C320" s="13"/>
      <c r="D320" s="13"/>
      <c r="E320" s="13"/>
      <c r="F320" s="13"/>
      <c r="G320" s="13"/>
      <c r="H320" s="13"/>
      <c r="I320" s="8">
        <v>1</v>
      </c>
      <c r="J320" s="13"/>
      <c r="K320" s="13"/>
      <c r="L320" s="13"/>
      <c r="M320" s="13"/>
      <c r="N320" s="13"/>
      <c r="O320" s="13"/>
      <c r="P320" s="8">
        <v>1</v>
      </c>
      <c r="Q320" s="86">
        <f t="shared" si="0"/>
        <v>0.012443999999999998</v>
      </c>
      <c r="R320" s="13"/>
      <c r="S320" s="41">
        <v>0.0018759999999999998</v>
      </c>
      <c r="T320" s="41">
        <v>0.010568</v>
      </c>
      <c r="U320" s="13"/>
      <c r="V320" s="13"/>
      <c r="W320" s="13"/>
      <c r="X320" s="13"/>
      <c r="Y320" s="13"/>
      <c r="Z320" s="43">
        <v>2011</v>
      </c>
      <c r="AA320" s="87">
        <v>7</v>
      </c>
      <c r="AB320" s="10"/>
      <c r="AC320" s="10"/>
      <c r="AD320" s="10"/>
      <c r="AE320" s="10"/>
      <c r="AF320" s="10"/>
      <c r="AG320" s="10"/>
      <c r="AH320" s="10"/>
      <c r="AI320" s="10"/>
    </row>
    <row r="321" spans="1:35" ht="29.25" customHeight="1">
      <c r="A321" s="84">
        <v>51</v>
      </c>
      <c r="B321" s="17" t="s">
        <v>467</v>
      </c>
      <c r="C321" s="13"/>
      <c r="D321" s="13"/>
      <c r="E321" s="13"/>
      <c r="F321" s="13"/>
      <c r="G321" s="13"/>
      <c r="H321" s="13"/>
      <c r="I321" s="8">
        <v>1</v>
      </c>
      <c r="J321" s="13"/>
      <c r="K321" s="13"/>
      <c r="L321" s="13"/>
      <c r="M321" s="13"/>
      <c r="N321" s="13"/>
      <c r="O321" s="13"/>
      <c r="P321" s="8">
        <v>1</v>
      </c>
      <c r="Q321" s="86">
        <f t="shared" si="0"/>
        <v>0.012443999999999998</v>
      </c>
      <c r="R321" s="13"/>
      <c r="S321" s="41">
        <v>0.0018759999999999998</v>
      </c>
      <c r="T321" s="41">
        <v>0.010568</v>
      </c>
      <c r="U321" s="13"/>
      <c r="V321" s="13"/>
      <c r="W321" s="13"/>
      <c r="X321" s="13"/>
      <c r="Y321" s="13"/>
      <c r="Z321" s="43">
        <v>2011</v>
      </c>
      <c r="AA321" s="87">
        <v>7</v>
      </c>
      <c r="AB321" s="10"/>
      <c r="AC321" s="10"/>
      <c r="AD321" s="10"/>
      <c r="AE321" s="10"/>
      <c r="AF321" s="10"/>
      <c r="AG321" s="10"/>
      <c r="AH321" s="10"/>
      <c r="AI321" s="10"/>
    </row>
    <row r="322" spans="1:35" ht="29.25" customHeight="1">
      <c r="A322" s="84">
        <v>52</v>
      </c>
      <c r="B322" s="17" t="s">
        <v>468</v>
      </c>
      <c r="C322" s="13"/>
      <c r="D322" s="13"/>
      <c r="E322" s="13"/>
      <c r="F322" s="13"/>
      <c r="G322" s="13"/>
      <c r="H322" s="13"/>
      <c r="I322" s="8">
        <v>1</v>
      </c>
      <c r="J322" s="13"/>
      <c r="K322" s="13"/>
      <c r="L322" s="13"/>
      <c r="M322" s="13"/>
      <c r="N322" s="13"/>
      <c r="O322" s="13"/>
      <c r="P322" s="8">
        <v>1</v>
      </c>
      <c r="Q322" s="86">
        <f t="shared" si="0"/>
        <v>0.012443999999999998</v>
      </c>
      <c r="R322" s="13"/>
      <c r="S322" s="41">
        <v>0.0018759999999999998</v>
      </c>
      <c r="T322" s="41">
        <v>0.010568</v>
      </c>
      <c r="U322" s="13"/>
      <c r="V322" s="13"/>
      <c r="W322" s="13"/>
      <c r="X322" s="13"/>
      <c r="Y322" s="13"/>
      <c r="Z322" s="43">
        <v>2011</v>
      </c>
      <c r="AA322" s="87">
        <v>7</v>
      </c>
      <c r="AB322" s="10"/>
      <c r="AC322" s="10"/>
      <c r="AD322" s="10"/>
      <c r="AE322" s="10"/>
      <c r="AF322" s="10"/>
      <c r="AG322" s="10"/>
      <c r="AH322" s="10"/>
      <c r="AI322" s="10"/>
    </row>
    <row r="323" spans="1:35" ht="29.25" customHeight="1">
      <c r="A323" s="84">
        <v>53</v>
      </c>
      <c r="B323" s="17" t="s">
        <v>469</v>
      </c>
      <c r="C323" s="13"/>
      <c r="D323" s="13"/>
      <c r="E323" s="13"/>
      <c r="F323" s="13"/>
      <c r="G323" s="13"/>
      <c r="H323" s="13"/>
      <c r="I323" s="8">
        <v>1</v>
      </c>
      <c r="J323" s="13"/>
      <c r="K323" s="13"/>
      <c r="L323" s="13"/>
      <c r="M323" s="13"/>
      <c r="N323" s="13"/>
      <c r="O323" s="13"/>
      <c r="P323" s="8">
        <v>1</v>
      </c>
      <c r="Q323" s="86">
        <f t="shared" si="0"/>
        <v>0.012443999999999998</v>
      </c>
      <c r="R323" s="13"/>
      <c r="S323" s="41">
        <v>0.0018759999999999998</v>
      </c>
      <c r="T323" s="41">
        <v>0.010568</v>
      </c>
      <c r="U323" s="13"/>
      <c r="V323" s="13"/>
      <c r="W323" s="13"/>
      <c r="X323" s="13"/>
      <c r="Y323" s="13"/>
      <c r="Z323" s="43">
        <v>2011</v>
      </c>
      <c r="AA323" s="87">
        <v>7</v>
      </c>
      <c r="AB323" s="10"/>
      <c r="AC323" s="10"/>
      <c r="AD323" s="10"/>
      <c r="AE323" s="10"/>
      <c r="AF323" s="10"/>
      <c r="AG323" s="10"/>
      <c r="AH323" s="10"/>
      <c r="AI323" s="10"/>
    </row>
    <row r="324" spans="1:35" ht="12.75">
      <c r="A324" s="10"/>
      <c r="B324" s="88" t="s">
        <v>439</v>
      </c>
      <c r="C324" s="13"/>
      <c r="D324" s="13"/>
      <c r="E324" s="13"/>
      <c r="F324" s="13"/>
      <c r="G324" s="13"/>
      <c r="H324" s="13"/>
      <c r="I324" s="8"/>
      <c r="J324" s="13"/>
      <c r="K324" s="13"/>
      <c r="L324" s="13"/>
      <c r="M324" s="13"/>
      <c r="N324" s="13"/>
      <c r="O324" s="13"/>
      <c r="P324" s="84">
        <f>SUM(P300:P323)</f>
        <v>24</v>
      </c>
      <c r="Q324" s="86">
        <f>SUBTOTAL(9,Q300:Q323)</f>
        <v>0.2986560000000001</v>
      </c>
      <c r="R324" s="13"/>
      <c r="S324" s="92">
        <f>SUBTOTAL(9,S300:S323)</f>
        <v>0.04502400000000001</v>
      </c>
      <c r="T324" s="92">
        <f>SUBTOTAL(9,T300:T323)</f>
        <v>0.2536319999999999</v>
      </c>
      <c r="U324" s="13"/>
      <c r="V324" s="13"/>
      <c r="W324" s="13"/>
      <c r="X324" s="13"/>
      <c r="Y324" s="13"/>
      <c r="Z324" s="43"/>
      <c r="AA324" s="43"/>
      <c r="AB324" s="10"/>
      <c r="AC324" s="10"/>
      <c r="AD324" s="10"/>
      <c r="AE324" s="10"/>
      <c r="AF324" s="10"/>
      <c r="AG324" s="10"/>
      <c r="AH324" s="10"/>
      <c r="AI324" s="10"/>
    </row>
    <row r="325" spans="1:35" ht="12.75">
      <c r="A325" s="91" t="s">
        <v>470</v>
      </c>
      <c r="B325" s="17" t="s">
        <v>150</v>
      </c>
      <c r="C325" s="13"/>
      <c r="D325" s="13"/>
      <c r="E325" s="13"/>
      <c r="F325" s="13"/>
      <c r="G325" s="13"/>
      <c r="H325" s="13"/>
      <c r="I325" s="8"/>
      <c r="J325" s="13"/>
      <c r="K325" s="13"/>
      <c r="L325" s="13"/>
      <c r="M325" s="13"/>
      <c r="N325" s="13"/>
      <c r="O325" s="13"/>
      <c r="P325" s="13"/>
      <c r="Q325" s="86"/>
      <c r="R325" s="13"/>
      <c r="S325" s="41"/>
      <c r="T325" s="41"/>
      <c r="U325" s="13"/>
      <c r="V325" s="13"/>
      <c r="W325" s="13"/>
      <c r="X325" s="13"/>
      <c r="Y325" s="13"/>
      <c r="Z325" s="43"/>
      <c r="AA325" s="43"/>
      <c r="AB325" s="10"/>
      <c r="AC325" s="10"/>
      <c r="AD325" s="10"/>
      <c r="AE325" s="10"/>
      <c r="AF325" s="10"/>
      <c r="AG325" s="10"/>
      <c r="AH325" s="10"/>
      <c r="AI325" s="10"/>
    </row>
    <row r="326" spans="1:35" ht="12.75">
      <c r="A326" s="91" t="s">
        <v>471</v>
      </c>
      <c r="B326" s="17" t="s">
        <v>472</v>
      </c>
      <c r="C326" s="13"/>
      <c r="D326" s="13"/>
      <c r="E326" s="13"/>
      <c r="F326" s="13"/>
      <c r="G326" s="13"/>
      <c r="H326" s="13"/>
      <c r="I326" s="8"/>
      <c r="J326" s="13"/>
      <c r="K326" s="13"/>
      <c r="L326" s="13"/>
      <c r="M326" s="13"/>
      <c r="N326" s="13"/>
      <c r="O326" s="13"/>
      <c r="P326" s="13"/>
      <c r="Q326" s="86"/>
      <c r="R326" s="13"/>
      <c r="S326" s="41"/>
      <c r="T326" s="41"/>
      <c r="U326" s="13"/>
      <c r="V326" s="13"/>
      <c r="W326" s="13"/>
      <c r="X326" s="13"/>
      <c r="Y326" s="13"/>
      <c r="Z326" s="43"/>
      <c r="AA326" s="43"/>
      <c r="AB326" s="10"/>
      <c r="AC326" s="10"/>
      <c r="AD326" s="10"/>
      <c r="AE326" s="10"/>
      <c r="AF326" s="10"/>
      <c r="AG326" s="10"/>
      <c r="AH326" s="10"/>
      <c r="AI326" s="10"/>
    </row>
    <row r="327" spans="1:35" ht="12.75">
      <c r="A327" s="84">
        <v>54</v>
      </c>
      <c r="B327" s="17" t="s">
        <v>446</v>
      </c>
      <c r="C327" s="13"/>
      <c r="D327" s="13"/>
      <c r="E327" s="13"/>
      <c r="F327" s="13"/>
      <c r="G327" s="13"/>
      <c r="H327" s="13"/>
      <c r="I327" s="8">
        <v>1</v>
      </c>
      <c r="J327" s="13"/>
      <c r="K327" s="13"/>
      <c r="L327" s="13"/>
      <c r="M327" s="13"/>
      <c r="N327" s="13"/>
      <c r="O327" s="13"/>
      <c r="P327" s="8">
        <v>1</v>
      </c>
      <c r="Q327" s="86">
        <f>S327+T327</f>
        <v>0.012443999999999998</v>
      </c>
      <c r="R327" s="13"/>
      <c r="S327" s="41">
        <v>0.0018759999999999998</v>
      </c>
      <c r="T327" s="41">
        <v>0.010568</v>
      </c>
      <c r="U327" s="13"/>
      <c r="V327" s="13"/>
      <c r="W327" s="13"/>
      <c r="X327" s="13"/>
      <c r="Y327" s="13"/>
      <c r="Z327" s="43">
        <v>2011</v>
      </c>
      <c r="AA327" s="87">
        <v>7</v>
      </c>
      <c r="AB327" s="10"/>
      <c r="AC327" s="10"/>
      <c r="AD327" s="10"/>
      <c r="AE327" s="10"/>
      <c r="AF327" s="10"/>
      <c r="AG327" s="10"/>
      <c r="AH327" s="10"/>
      <c r="AI327" s="10"/>
    </row>
    <row r="328" spans="1:35" ht="12.75">
      <c r="A328" s="84">
        <v>55</v>
      </c>
      <c r="B328" s="17" t="s">
        <v>473</v>
      </c>
      <c r="C328" s="13"/>
      <c r="D328" s="13"/>
      <c r="E328" s="13"/>
      <c r="F328" s="13"/>
      <c r="G328" s="13"/>
      <c r="H328" s="13"/>
      <c r="I328" s="8">
        <v>1</v>
      </c>
      <c r="J328" s="13"/>
      <c r="K328" s="13"/>
      <c r="L328" s="13"/>
      <c r="M328" s="13"/>
      <c r="N328" s="13"/>
      <c r="O328" s="13"/>
      <c r="P328" s="8">
        <v>1</v>
      </c>
      <c r="Q328" s="86">
        <f>S328+T328</f>
        <v>0.012443999999999998</v>
      </c>
      <c r="R328" s="13"/>
      <c r="S328" s="41">
        <v>0.0018759999999999998</v>
      </c>
      <c r="T328" s="41">
        <v>0.010568</v>
      </c>
      <c r="U328" s="13"/>
      <c r="V328" s="13"/>
      <c r="W328" s="13"/>
      <c r="X328" s="13"/>
      <c r="Y328" s="13"/>
      <c r="Z328" s="43">
        <v>2011</v>
      </c>
      <c r="AA328" s="87">
        <v>7</v>
      </c>
      <c r="AB328" s="10"/>
      <c r="AC328" s="10"/>
      <c r="AD328" s="10"/>
      <c r="AE328" s="10"/>
      <c r="AF328" s="10"/>
      <c r="AG328" s="10"/>
      <c r="AH328" s="10"/>
      <c r="AI328" s="10"/>
    </row>
    <row r="329" spans="1:35" ht="12.75">
      <c r="A329" s="84">
        <v>56</v>
      </c>
      <c r="B329" s="17" t="s">
        <v>474</v>
      </c>
      <c r="C329" s="13"/>
      <c r="D329" s="13"/>
      <c r="E329" s="13"/>
      <c r="F329" s="13"/>
      <c r="G329" s="13"/>
      <c r="H329" s="13"/>
      <c r="I329" s="8">
        <v>1</v>
      </c>
      <c r="J329" s="13"/>
      <c r="K329" s="13"/>
      <c r="L329" s="13"/>
      <c r="M329" s="13"/>
      <c r="N329" s="13"/>
      <c r="O329" s="13"/>
      <c r="P329" s="8">
        <v>1</v>
      </c>
      <c r="Q329" s="86">
        <f>S329+T329</f>
        <v>0.012443999999999998</v>
      </c>
      <c r="R329" s="13"/>
      <c r="S329" s="41">
        <v>0.0018759999999999998</v>
      </c>
      <c r="T329" s="41">
        <v>0.010568</v>
      </c>
      <c r="U329" s="13"/>
      <c r="V329" s="13"/>
      <c r="W329" s="13"/>
      <c r="X329" s="13"/>
      <c r="Y329" s="13"/>
      <c r="Z329" s="43">
        <v>2011</v>
      </c>
      <c r="AA329" s="87">
        <v>7</v>
      </c>
      <c r="AB329" s="10"/>
      <c r="AC329" s="10"/>
      <c r="AD329" s="10"/>
      <c r="AE329" s="10"/>
      <c r="AF329" s="10"/>
      <c r="AG329" s="10"/>
      <c r="AH329" s="10"/>
      <c r="AI329" s="10"/>
    </row>
    <row r="330" spans="1:35" ht="12.75">
      <c r="A330" s="84">
        <v>57</v>
      </c>
      <c r="B330" s="17" t="s">
        <v>475</v>
      </c>
      <c r="C330" s="13"/>
      <c r="D330" s="13"/>
      <c r="E330" s="13"/>
      <c r="F330" s="13"/>
      <c r="G330" s="13"/>
      <c r="H330" s="13"/>
      <c r="I330" s="8">
        <v>1</v>
      </c>
      <c r="J330" s="13"/>
      <c r="K330" s="13"/>
      <c r="L330" s="13"/>
      <c r="M330" s="13"/>
      <c r="N330" s="13"/>
      <c r="O330" s="13"/>
      <c r="P330" s="8">
        <v>1</v>
      </c>
      <c r="Q330" s="86">
        <f>S330+T330</f>
        <v>0.012443999999999998</v>
      </c>
      <c r="R330" s="13"/>
      <c r="S330" s="41">
        <v>0.0018759999999999998</v>
      </c>
      <c r="T330" s="41">
        <v>0.010568</v>
      </c>
      <c r="U330" s="13"/>
      <c r="V330" s="13"/>
      <c r="W330" s="13"/>
      <c r="X330" s="13"/>
      <c r="Y330" s="13"/>
      <c r="Z330" s="43">
        <v>2011</v>
      </c>
      <c r="AA330" s="87">
        <v>7</v>
      </c>
      <c r="AB330" s="10"/>
      <c r="AC330" s="10"/>
      <c r="AD330" s="10"/>
      <c r="AE330" s="10"/>
      <c r="AF330" s="10"/>
      <c r="AG330" s="10"/>
      <c r="AH330" s="10"/>
      <c r="AI330" s="10"/>
    </row>
    <row r="331" spans="1:35" ht="12.75">
      <c r="A331" s="10"/>
      <c r="B331" s="88" t="s">
        <v>439</v>
      </c>
      <c r="C331" s="13"/>
      <c r="D331" s="13"/>
      <c r="E331" s="13"/>
      <c r="F331" s="13"/>
      <c r="G331" s="13"/>
      <c r="H331" s="13"/>
      <c r="I331" s="8"/>
      <c r="J331" s="13"/>
      <c r="K331" s="13"/>
      <c r="L331" s="13"/>
      <c r="M331" s="13"/>
      <c r="N331" s="13"/>
      <c r="O331" s="13"/>
      <c r="P331" s="8">
        <v>4</v>
      </c>
      <c r="Q331" s="86">
        <f>SUBTOTAL(9,Q327:Q330)</f>
        <v>0.049775999999999994</v>
      </c>
      <c r="R331" s="13"/>
      <c r="S331" s="92">
        <f>SUBTOTAL(9,S327:S330)</f>
        <v>0.007503999999999999</v>
      </c>
      <c r="T331" s="92">
        <f>SUBTOTAL(9,T327:T330)</f>
        <v>0.042272</v>
      </c>
      <c r="U331" s="13"/>
      <c r="V331" s="13"/>
      <c r="W331" s="13"/>
      <c r="X331" s="13"/>
      <c r="Y331" s="13"/>
      <c r="Z331" s="43"/>
      <c r="AA331" s="43"/>
      <c r="AB331" s="10"/>
      <c r="AC331" s="10"/>
      <c r="AD331" s="10"/>
      <c r="AE331" s="10"/>
      <c r="AF331" s="10"/>
      <c r="AG331" s="10"/>
      <c r="AH331" s="10"/>
      <c r="AI331" s="10"/>
    </row>
    <row r="332" spans="1:35" ht="12.75">
      <c r="A332" s="91" t="s">
        <v>476</v>
      </c>
      <c r="B332" s="17" t="s">
        <v>477</v>
      </c>
      <c r="C332" s="13"/>
      <c r="D332" s="13"/>
      <c r="E332" s="13"/>
      <c r="F332" s="13"/>
      <c r="G332" s="13"/>
      <c r="H332" s="13"/>
      <c r="I332" s="8"/>
      <c r="J332" s="13"/>
      <c r="K332" s="13"/>
      <c r="L332" s="13"/>
      <c r="M332" s="13"/>
      <c r="N332" s="13"/>
      <c r="O332" s="13"/>
      <c r="P332" s="13"/>
      <c r="Q332" s="86"/>
      <c r="R332" s="13"/>
      <c r="S332" s="41"/>
      <c r="T332" s="41"/>
      <c r="U332" s="13"/>
      <c r="V332" s="13"/>
      <c r="W332" s="13"/>
      <c r="X332" s="13"/>
      <c r="Y332" s="13"/>
      <c r="Z332" s="43"/>
      <c r="AA332" s="43"/>
      <c r="AB332" s="10"/>
      <c r="AC332" s="10"/>
      <c r="AD332" s="10"/>
      <c r="AE332" s="10"/>
      <c r="AF332" s="10"/>
      <c r="AG332" s="10"/>
      <c r="AH332" s="10"/>
      <c r="AI332" s="10"/>
    </row>
    <row r="333" spans="1:35" ht="12.75">
      <c r="A333" s="91" t="s">
        <v>478</v>
      </c>
      <c r="B333" s="17" t="s">
        <v>479</v>
      </c>
      <c r="C333" s="13"/>
      <c r="D333" s="13"/>
      <c r="E333" s="13"/>
      <c r="F333" s="13"/>
      <c r="G333" s="13"/>
      <c r="H333" s="13"/>
      <c r="I333" s="8"/>
      <c r="J333" s="13"/>
      <c r="K333" s="13"/>
      <c r="L333" s="13"/>
      <c r="M333" s="13"/>
      <c r="N333" s="13"/>
      <c r="O333" s="13"/>
      <c r="P333" s="13"/>
      <c r="Q333" s="86"/>
      <c r="R333" s="13"/>
      <c r="S333" s="41"/>
      <c r="T333" s="41"/>
      <c r="U333" s="13"/>
      <c r="V333" s="13"/>
      <c r="W333" s="13"/>
      <c r="X333" s="13"/>
      <c r="Y333" s="13"/>
      <c r="Z333" s="43"/>
      <c r="AA333" s="43"/>
      <c r="AB333" s="10"/>
      <c r="AC333" s="10"/>
      <c r="AD333" s="10"/>
      <c r="AE333" s="10"/>
      <c r="AF333" s="10"/>
      <c r="AG333" s="10"/>
      <c r="AH333" s="10"/>
      <c r="AI333" s="10"/>
    </row>
    <row r="334" spans="1:35" ht="12.75">
      <c r="A334" s="84">
        <v>58</v>
      </c>
      <c r="B334" s="17" t="s">
        <v>480</v>
      </c>
      <c r="C334" s="13"/>
      <c r="D334" s="13"/>
      <c r="E334" s="13"/>
      <c r="F334" s="13"/>
      <c r="G334" s="13"/>
      <c r="H334" s="13"/>
      <c r="I334" s="8">
        <v>1</v>
      </c>
      <c r="J334" s="13"/>
      <c r="K334" s="13"/>
      <c r="L334" s="13"/>
      <c r="M334" s="13"/>
      <c r="N334" s="13"/>
      <c r="O334" s="13"/>
      <c r="P334" s="8">
        <v>1</v>
      </c>
      <c r="Q334" s="86">
        <f>S334+T334</f>
        <v>0.012443999999999998</v>
      </c>
      <c r="R334" s="13"/>
      <c r="S334" s="41">
        <v>0.0018759999999999998</v>
      </c>
      <c r="T334" s="41">
        <v>0.010568</v>
      </c>
      <c r="U334" s="13"/>
      <c r="V334" s="13"/>
      <c r="W334" s="13"/>
      <c r="X334" s="13"/>
      <c r="Y334" s="13"/>
      <c r="Z334" s="43">
        <v>2011</v>
      </c>
      <c r="AA334" s="87">
        <v>7</v>
      </c>
      <c r="AB334" s="10"/>
      <c r="AC334" s="10"/>
      <c r="AD334" s="10"/>
      <c r="AE334" s="10"/>
      <c r="AF334" s="10"/>
      <c r="AG334" s="10"/>
      <c r="AH334" s="10"/>
      <c r="AI334" s="10"/>
    </row>
    <row r="335" spans="1:35" ht="12.75">
      <c r="A335" s="84">
        <v>59</v>
      </c>
      <c r="B335" s="17" t="s">
        <v>481</v>
      </c>
      <c r="C335" s="13"/>
      <c r="D335" s="13"/>
      <c r="E335" s="13"/>
      <c r="F335" s="13"/>
      <c r="G335" s="13"/>
      <c r="H335" s="13"/>
      <c r="I335" s="8">
        <v>1</v>
      </c>
      <c r="J335" s="13"/>
      <c r="K335" s="13"/>
      <c r="L335" s="13"/>
      <c r="M335" s="13"/>
      <c r="N335" s="13"/>
      <c r="O335" s="13"/>
      <c r="P335" s="8">
        <v>1</v>
      </c>
      <c r="Q335" s="86">
        <f>S335+T335</f>
        <v>0.012443999999999998</v>
      </c>
      <c r="R335" s="13"/>
      <c r="S335" s="41">
        <v>0.0018759999999999998</v>
      </c>
      <c r="T335" s="41">
        <v>0.010568</v>
      </c>
      <c r="U335" s="13"/>
      <c r="V335" s="13"/>
      <c r="W335" s="13"/>
      <c r="X335" s="13"/>
      <c r="Y335" s="13"/>
      <c r="Z335" s="43">
        <v>2011</v>
      </c>
      <c r="AA335" s="87">
        <v>7</v>
      </c>
      <c r="AB335" s="10"/>
      <c r="AC335" s="10"/>
      <c r="AD335" s="10"/>
      <c r="AE335" s="10"/>
      <c r="AF335" s="10"/>
      <c r="AG335" s="10"/>
      <c r="AH335" s="10"/>
      <c r="AI335" s="10"/>
    </row>
    <row r="336" spans="1:35" ht="12.75">
      <c r="A336" s="84">
        <v>60</v>
      </c>
      <c r="B336" s="17" t="s">
        <v>482</v>
      </c>
      <c r="C336" s="13"/>
      <c r="D336" s="13"/>
      <c r="E336" s="13"/>
      <c r="F336" s="13"/>
      <c r="G336" s="13"/>
      <c r="H336" s="13"/>
      <c r="I336" s="8">
        <v>1</v>
      </c>
      <c r="J336" s="13"/>
      <c r="K336" s="13"/>
      <c r="L336" s="13"/>
      <c r="M336" s="13"/>
      <c r="N336" s="13"/>
      <c r="O336" s="13"/>
      <c r="P336" s="8">
        <v>1</v>
      </c>
      <c r="Q336" s="86">
        <f>S336+T336</f>
        <v>0.012443999999999998</v>
      </c>
      <c r="R336" s="13"/>
      <c r="S336" s="41">
        <v>0.0018759999999999998</v>
      </c>
      <c r="T336" s="41">
        <v>0.010568</v>
      </c>
      <c r="U336" s="13"/>
      <c r="V336" s="13"/>
      <c r="W336" s="13"/>
      <c r="X336" s="13"/>
      <c r="Y336" s="13"/>
      <c r="Z336" s="43">
        <v>2011</v>
      </c>
      <c r="AA336" s="87">
        <v>7</v>
      </c>
      <c r="AB336" s="10"/>
      <c r="AC336" s="10"/>
      <c r="AD336" s="10"/>
      <c r="AE336" s="10"/>
      <c r="AF336" s="10"/>
      <c r="AG336" s="10"/>
      <c r="AH336" s="10"/>
      <c r="AI336" s="10"/>
    </row>
    <row r="337" spans="1:35" ht="12.75">
      <c r="A337" s="10"/>
      <c r="B337" s="88" t="s">
        <v>439</v>
      </c>
      <c r="C337" s="13"/>
      <c r="D337" s="13"/>
      <c r="E337" s="13"/>
      <c r="F337" s="13"/>
      <c r="G337" s="13"/>
      <c r="H337" s="13"/>
      <c r="I337" s="8"/>
      <c r="J337" s="13"/>
      <c r="K337" s="13"/>
      <c r="L337" s="13"/>
      <c r="M337" s="13"/>
      <c r="N337" s="13"/>
      <c r="O337" s="13"/>
      <c r="P337" s="8">
        <v>3</v>
      </c>
      <c r="Q337" s="86">
        <f>SUBTOTAL(9,Q334:Q336)</f>
        <v>0.037332</v>
      </c>
      <c r="R337" s="13"/>
      <c r="S337" s="92">
        <f>SUBTOTAL(9,S334:S336)</f>
        <v>0.005627999999999999</v>
      </c>
      <c r="T337" s="92">
        <f>SUBTOTAL(9,T334:T336)</f>
        <v>0.031703999999999996</v>
      </c>
      <c r="U337" s="13"/>
      <c r="V337" s="13"/>
      <c r="W337" s="13"/>
      <c r="X337" s="13"/>
      <c r="Y337" s="13"/>
      <c r="Z337" s="43"/>
      <c r="AA337" s="43"/>
      <c r="AB337" s="10"/>
      <c r="AC337" s="10"/>
      <c r="AD337" s="10"/>
      <c r="AE337" s="10"/>
      <c r="AF337" s="10"/>
      <c r="AG337" s="10"/>
      <c r="AH337" s="10"/>
      <c r="AI337" s="10"/>
    </row>
    <row r="338" spans="1:35" ht="12.75">
      <c r="A338" s="10"/>
      <c r="B338" s="17" t="s">
        <v>11</v>
      </c>
      <c r="C338" s="13"/>
      <c r="D338" s="13"/>
      <c r="E338" s="13"/>
      <c r="F338" s="13"/>
      <c r="G338" s="13"/>
      <c r="H338" s="13"/>
      <c r="I338" s="8"/>
      <c r="J338" s="13"/>
      <c r="K338" s="13"/>
      <c r="L338" s="13"/>
      <c r="M338" s="13"/>
      <c r="N338" s="13"/>
      <c r="O338" s="13"/>
      <c r="P338" s="34">
        <v>82</v>
      </c>
      <c r="Q338" s="86">
        <f>Q337+Q331+Q324+Q297+Q293</f>
        <v>0.9889920000000001</v>
      </c>
      <c r="R338" s="86"/>
      <c r="S338" s="86">
        <f>S337+S331+S324+S297+S293</f>
        <v>0.14925600000000003</v>
      </c>
      <c r="T338" s="86">
        <f>T337+T331+T324+T297+T293</f>
        <v>0.8397359999999997</v>
      </c>
      <c r="U338" s="13"/>
      <c r="V338" s="13"/>
      <c r="W338" s="13"/>
      <c r="X338" s="13"/>
      <c r="Y338" s="13"/>
      <c r="Z338" s="43"/>
      <c r="AA338" s="43"/>
      <c r="AB338" s="10"/>
      <c r="AC338" s="10"/>
      <c r="AD338" s="10"/>
      <c r="AE338" s="10"/>
      <c r="AF338" s="10"/>
      <c r="AG338" s="10"/>
      <c r="AH338" s="10"/>
      <c r="AI338" s="10"/>
    </row>
    <row r="339" spans="1:35" ht="12.75">
      <c r="A339" s="8"/>
      <c r="B339" s="13" t="s">
        <v>483</v>
      </c>
      <c r="C339" s="13"/>
      <c r="D339" s="13"/>
      <c r="E339" s="13"/>
      <c r="F339" s="13"/>
      <c r="G339" s="13"/>
      <c r="H339" s="13"/>
      <c r="I339" s="8">
        <f>SUM(I266:I336)</f>
        <v>82</v>
      </c>
      <c r="J339" s="13"/>
      <c r="K339" s="13"/>
      <c r="L339" s="13"/>
      <c r="M339" s="13"/>
      <c r="N339" s="13"/>
      <c r="O339" s="13"/>
      <c r="P339" s="13"/>
      <c r="Q339" s="8"/>
      <c r="R339" s="13"/>
      <c r="S339" s="13"/>
      <c r="T339" s="13"/>
      <c r="U339" s="13"/>
      <c r="V339" s="13"/>
      <c r="W339" s="13"/>
      <c r="X339" s="13"/>
      <c r="Y339" s="13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</row>
    <row r="340" spans="1:35" ht="12.75">
      <c r="A340" s="8">
        <v>2</v>
      </c>
      <c r="B340" s="13" t="s">
        <v>324</v>
      </c>
      <c r="C340" s="13"/>
      <c r="D340" s="13"/>
      <c r="E340" s="13"/>
      <c r="F340" s="13"/>
      <c r="G340" s="13"/>
      <c r="H340" s="13"/>
      <c r="I340" s="8"/>
      <c r="J340" s="13"/>
      <c r="K340" s="13"/>
      <c r="L340" s="13"/>
      <c r="M340" s="13"/>
      <c r="N340" s="13"/>
      <c r="O340" s="13"/>
      <c r="P340" s="13"/>
      <c r="Q340" s="8"/>
      <c r="R340" s="13"/>
      <c r="S340" s="13"/>
      <c r="T340" s="13"/>
      <c r="U340" s="13"/>
      <c r="V340" s="13"/>
      <c r="W340" s="13"/>
      <c r="X340" s="13"/>
      <c r="Y340" s="13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</row>
    <row r="341" spans="1:35" ht="12.75">
      <c r="A341" s="8"/>
      <c r="B341" s="13" t="s">
        <v>483</v>
      </c>
      <c r="C341" s="13"/>
      <c r="D341" s="13"/>
      <c r="E341" s="13"/>
      <c r="F341" s="13"/>
      <c r="G341" s="13"/>
      <c r="H341" s="13"/>
      <c r="I341" s="8"/>
      <c r="J341" s="13"/>
      <c r="K341" s="13"/>
      <c r="L341" s="13"/>
      <c r="M341" s="13"/>
      <c r="N341" s="13"/>
      <c r="O341" s="13"/>
      <c r="P341" s="13"/>
      <c r="Q341" s="8"/>
      <c r="R341" s="13"/>
      <c r="S341" s="13"/>
      <c r="T341" s="13"/>
      <c r="U341" s="13"/>
      <c r="V341" s="13"/>
      <c r="W341" s="13"/>
      <c r="X341" s="13"/>
      <c r="Y341" s="13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</row>
    <row r="342" spans="1:35" ht="12.75">
      <c r="A342" s="8" t="s">
        <v>325</v>
      </c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</row>
    <row r="343" spans="1:35" ht="15.75" customHeight="1">
      <c r="A343" s="15" t="s">
        <v>484</v>
      </c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3"/>
      <c r="S343" s="13"/>
      <c r="T343" s="13"/>
      <c r="U343" s="13"/>
      <c r="V343" s="15"/>
      <c r="W343" s="15"/>
      <c r="X343" s="15"/>
      <c r="Y343" s="15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</row>
    <row r="344" spans="1:35" ht="12.75">
      <c r="A344" s="3"/>
      <c r="B344" s="3" t="s">
        <v>485</v>
      </c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13"/>
      <c r="S344" s="13"/>
      <c r="T344" s="13"/>
      <c r="U344" s="13"/>
      <c r="V344" s="3"/>
      <c r="W344" s="3"/>
      <c r="X344" s="3"/>
      <c r="Y344" s="3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</row>
    <row r="345" spans="1:35" ht="12.75">
      <c r="A345" s="8">
        <v>1</v>
      </c>
      <c r="B345" s="13" t="s">
        <v>323</v>
      </c>
      <c r="C345" s="13"/>
      <c r="D345" s="13"/>
      <c r="E345" s="13"/>
      <c r="F345" s="13"/>
      <c r="G345" s="13"/>
      <c r="H345" s="13"/>
      <c r="I345" s="8"/>
      <c r="J345" s="13"/>
      <c r="K345" s="13"/>
      <c r="L345" s="13"/>
      <c r="M345" s="13"/>
      <c r="N345" s="13"/>
      <c r="O345" s="13"/>
      <c r="P345" s="13"/>
      <c r="Q345" s="8"/>
      <c r="R345" s="13"/>
      <c r="S345" s="13"/>
      <c r="T345" s="13"/>
      <c r="U345" s="13"/>
      <c r="V345" s="13"/>
      <c r="W345" s="13"/>
      <c r="X345" s="13"/>
      <c r="Y345" s="13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</row>
    <row r="346" spans="1:35" ht="12.75">
      <c r="A346" s="8">
        <v>2</v>
      </c>
      <c r="B346" s="13" t="s">
        <v>324</v>
      </c>
      <c r="C346" s="13"/>
      <c r="D346" s="13"/>
      <c r="E346" s="13"/>
      <c r="F346" s="13"/>
      <c r="G346" s="13"/>
      <c r="H346" s="13"/>
      <c r="I346" s="8"/>
      <c r="J346" s="13"/>
      <c r="K346" s="13"/>
      <c r="L346" s="13"/>
      <c r="M346" s="13"/>
      <c r="N346" s="13"/>
      <c r="O346" s="13"/>
      <c r="P346" s="13"/>
      <c r="Q346" s="8"/>
      <c r="R346" s="13"/>
      <c r="S346" s="13"/>
      <c r="T346" s="13"/>
      <c r="U346" s="13"/>
      <c r="V346" s="13"/>
      <c r="W346" s="13"/>
      <c r="X346" s="13"/>
      <c r="Y346" s="13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</row>
    <row r="347" spans="1:35" ht="12.75">
      <c r="A347" s="8" t="s">
        <v>325</v>
      </c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</row>
    <row r="348" spans="1:25" ht="12.75">
      <c r="A348" s="93"/>
      <c r="B348" s="94"/>
      <c r="C348" s="94"/>
      <c r="D348" s="94"/>
      <c r="E348" s="94"/>
      <c r="F348" s="94"/>
      <c r="G348" s="94"/>
      <c r="H348" s="94"/>
      <c r="I348" s="95"/>
      <c r="J348" s="94"/>
      <c r="K348" s="94"/>
      <c r="L348" s="94"/>
      <c r="M348" s="94"/>
      <c r="N348" s="94"/>
      <c r="O348" s="94"/>
      <c r="R348" s="94"/>
      <c r="S348" s="94"/>
      <c r="T348" s="94"/>
      <c r="U348" s="94"/>
      <c r="V348" s="94"/>
      <c r="W348" s="94"/>
      <c r="X348" s="94"/>
      <c r="Y348" s="94"/>
    </row>
    <row r="349" spans="1:25" ht="15.75" customHeight="1">
      <c r="A349" s="93"/>
      <c r="B349" s="96" t="s">
        <v>486</v>
      </c>
      <c r="C349" s="96"/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 t="e">
        <f>SUM(#REF!)</f>
        <v>#REF!</v>
      </c>
      <c r="R349" s="96"/>
      <c r="S349" s="96"/>
      <c r="T349" s="96"/>
      <c r="U349" s="96"/>
      <c r="V349" s="97"/>
      <c r="W349" s="97"/>
      <c r="X349" s="97"/>
      <c r="Y349" s="97"/>
    </row>
    <row r="350" spans="1:17" ht="12.75">
      <c r="A350" s="98"/>
      <c r="B350" s="1" t="s">
        <v>487</v>
      </c>
      <c r="I350" s="99"/>
      <c r="Q350" s="99"/>
    </row>
  </sheetData>
  <sheetProtection selectLockedCells="1" selectUnlockedCells="1"/>
  <mergeCells count="16">
    <mergeCell ref="A1:AI1"/>
    <mergeCell ref="A2:A3"/>
    <mergeCell ref="B2:B3"/>
    <mergeCell ref="C2:P2"/>
    <mergeCell ref="Q2:U3"/>
    <mergeCell ref="V2:AI2"/>
    <mergeCell ref="C3:F3"/>
    <mergeCell ref="G3:J3"/>
    <mergeCell ref="K3:O3"/>
    <mergeCell ref="P3:P4"/>
    <mergeCell ref="V3:Y3"/>
    <mergeCell ref="Z3:AC3"/>
    <mergeCell ref="AD3:AH3"/>
    <mergeCell ref="AI3:AI4"/>
    <mergeCell ref="A343:B343"/>
    <mergeCell ref="B349:U349"/>
  </mergeCells>
  <printOptions/>
  <pageMargins left="0.7875" right="0.39375" top="0.20069444444444445" bottom="0.20069444444444445" header="0.5118055555555555" footer="0.5118055555555555"/>
  <pageSetup fitToHeight="0" fitToWidth="1" horizontalDpi="300" verticalDpi="300" orientation="landscape" pageOrder="overThenDown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="75" zoomScaleNormal="75" zoomScaleSheetLayoutView="80" workbookViewId="0" topLeftCell="A1">
      <selection activeCell="A48" sqref="A48"/>
    </sheetView>
  </sheetViews>
  <sheetFormatPr defaultColWidth="9.00390625" defaultRowHeight="15.75"/>
  <cols>
    <col min="1" max="1" width="9.00390625" style="100" customWidth="1"/>
    <col min="2" max="2" width="34.875" style="100" customWidth="1"/>
    <col min="3" max="3" width="15.00390625" style="100" customWidth="1"/>
    <col min="4" max="4" width="14.375" style="100" customWidth="1"/>
    <col min="5" max="5" width="30.75390625" style="100" customWidth="1"/>
    <col min="6" max="16384" width="9.00390625" style="100" customWidth="1"/>
  </cols>
  <sheetData>
    <row r="1" spans="1:5" ht="45.75" customHeight="1">
      <c r="A1" s="101" t="s">
        <v>488</v>
      </c>
      <c r="B1" s="101"/>
      <c r="C1" s="101"/>
      <c r="D1" s="101"/>
      <c r="E1" s="101"/>
    </row>
    <row r="2" spans="1:5" ht="12.75">
      <c r="A2" s="102"/>
      <c r="B2" s="102"/>
      <c r="C2" s="103"/>
      <c r="D2"/>
      <c r="E2" s="104"/>
    </row>
    <row r="3" spans="2:7" ht="12.75">
      <c r="B3" s="105"/>
      <c r="C3" s="105"/>
      <c r="D3" s="105"/>
      <c r="E3" s="106" t="s">
        <v>489</v>
      </c>
      <c r="F3" s="106"/>
      <c r="G3" s="106"/>
    </row>
    <row r="4" spans="2:7" ht="12.75">
      <c r="B4" s="105"/>
      <c r="C4" s="105"/>
      <c r="D4" s="105"/>
      <c r="E4" s="106" t="s">
        <v>490</v>
      </c>
      <c r="F4" s="106"/>
      <c r="G4" s="106"/>
    </row>
    <row r="5" spans="2:7" ht="12.75">
      <c r="B5" s="105"/>
      <c r="C5" s="105"/>
      <c r="D5" s="105"/>
      <c r="E5" s="106" t="s">
        <v>491</v>
      </c>
      <c r="F5" s="106"/>
      <c r="G5" s="106"/>
    </row>
    <row r="6" spans="2:7" ht="31.5" customHeight="1">
      <c r="B6" s="105"/>
      <c r="C6" s="105"/>
      <c r="D6" s="105"/>
      <c r="E6" s="106" t="s">
        <v>492</v>
      </c>
      <c r="F6" s="106"/>
      <c r="G6" s="106"/>
    </row>
    <row r="7" spans="2:7" ht="12.75">
      <c r="B7" s="105"/>
      <c r="C7" s="105"/>
      <c r="D7" s="105"/>
      <c r="E7" s="106" t="s">
        <v>493</v>
      </c>
      <c r="F7" s="106"/>
      <c r="G7" s="106"/>
    </row>
    <row r="8" spans="2:7" ht="12.75">
      <c r="B8" s="105"/>
      <c r="C8" s="105"/>
      <c r="D8" s="105"/>
      <c r="E8" s="106" t="s">
        <v>494</v>
      </c>
      <c r="F8" s="106"/>
      <c r="G8" s="106"/>
    </row>
    <row r="9" spans="2:7" ht="12.75">
      <c r="B9" s="105"/>
      <c r="C9" s="105"/>
      <c r="D9" s="105"/>
      <c r="E9" s="106" t="s">
        <v>495</v>
      </c>
      <c r="F9" s="106"/>
      <c r="G9" s="106"/>
    </row>
    <row r="10" spans="4:5" ht="12.75">
      <c r="D10"/>
      <c r="E10" s="104"/>
    </row>
    <row r="11" spans="1:5" ht="12.75">
      <c r="A11" s="107"/>
      <c r="E11" s="104"/>
    </row>
    <row r="12" spans="1:5" ht="12.75" customHeight="1">
      <c r="A12" s="108" t="s">
        <v>1</v>
      </c>
      <c r="B12" s="108" t="s">
        <v>496</v>
      </c>
      <c r="C12" s="108" t="s">
        <v>497</v>
      </c>
      <c r="D12" s="108"/>
      <c r="E12" s="108" t="s">
        <v>498</v>
      </c>
    </row>
    <row r="13" spans="1:5" ht="12.75">
      <c r="A13" s="108"/>
      <c r="B13" s="108"/>
      <c r="C13" s="108"/>
      <c r="D13" s="108"/>
      <c r="E13" s="108"/>
    </row>
    <row r="14" spans="1:7" ht="12.75">
      <c r="A14" s="108"/>
      <c r="B14" s="108"/>
      <c r="C14" s="108" t="s">
        <v>499</v>
      </c>
      <c r="D14" s="108" t="s">
        <v>500</v>
      </c>
      <c r="E14" s="108"/>
      <c r="F14" s="109"/>
      <c r="G14" s="109"/>
    </row>
    <row r="15" spans="1:5" ht="32.25" customHeight="1">
      <c r="A15" s="110">
        <v>1</v>
      </c>
      <c r="B15" s="111" t="s">
        <v>501</v>
      </c>
      <c r="C15" s="112">
        <v>48469.7</v>
      </c>
      <c r="D15" s="112">
        <v>109849</v>
      </c>
      <c r="E15" s="110"/>
    </row>
    <row r="16" spans="1:5" ht="12.75">
      <c r="A16" s="43" t="s">
        <v>31</v>
      </c>
      <c r="B16" s="13" t="s">
        <v>502</v>
      </c>
      <c r="C16" s="113">
        <v>10000</v>
      </c>
      <c r="D16" s="113">
        <f>D17+D19</f>
        <v>73032.8</v>
      </c>
      <c r="E16" s="10"/>
    </row>
    <row r="17" spans="1:5" ht="12.75">
      <c r="A17" s="43" t="s">
        <v>33</v>
      </c>
      <c r="B17" s="13" t="s">
        <v>503</v>
      </c>
      <c r="C17" s="114">
        <v>10000</v>
      </c>
      <c r="D17" s="114">
        <v>12646.7</v>
      </c>
      <c r="E17" s="10"/>
    </row>
    <row r="18" spans="1:7" ht="12.75">
      <c r="A18" s="43" t="s">
        <v>504</v>
      </c>
      <c r="B18" s="13" t="s">
        <v>505</v>
      </c>
      <c r="C18" s="114"/>
      <c r="D18" s="114"/>
      <c r="E18" s="10"/>
      <c r="F18" s="115"/>
      <c r="G18" s="115"/>
    </row>
    <row r="19" spans="1:5" ht="12.75">
      <c r="A19" s="43" t="s">
        <v>76</v>
      </c>
      <c r="B19" s="13" t="s">
        <v>506</v>
      </c>
      <c r="C19" s="113">
        <v>0</v>
      </c>
      <c r="D19" s="114">
        <v>60386.1</v>
      </c>
      <c r="E19" s="10"/>
    </row>
    <row r="20" spans="1:5" ht="12.75">
      <c r="A20" s="43" t="s">
        <v>507</v>
      </c>
      <c r="B20" s="13" t="s">
        <v>508</v>
      </c>
      <c r="C20" s="113"/>
      <c r="D20" s="113"/>
      <c r="E20" s="10"/>
    </row>
    <row r="21" spans="1:5" ht="12.75">
      <c r="A21" s="43" t="s">
        <v>509</v>
      </c>
      <c r="B21" s="13" t="s">
        <v>510</v>
      </c>
      <c r="C21" s="114">
        <v>0</v>
      </c>
      <c r="D21" s="114">
        <v>60386.1</v>
      </c>
      <c r="E21" s="10"/>
    </row>
    <row r="22" spans="1:5" ht="12.75">
      <c r="A22" s="43" t="s">
        <v>173</v>
      </c>
      <c r="B22" s="13" t="s">
        <v>511</v>
      </c>
      <c r="C22" s="114"/>
      <c r="D22" s="114"/>
      <c r="E22" s="10"/>
    </row>
    <row r="23" spans="1:5" ht="12.75">
      <c r="A23" s="43" t="s">
        <v>213</v>
      </c>
      <c r="B23" s="13" t="s">
        <v>512</v>
      </c>
      <c r="C23" s="112">
        <v>38469.7</v>
      </c>
      <c r="D23" s="113">
        <f>D24</f>
        <v>36834.2</v>
      </c>
      <c r="E23" s="10"/>
    </row>
    <row r="24" spans="1:5" ht="12.75">
      <c r="A24" s="43" t="s">
        <v>513</v>
      </c>
      <c r="B24" s="13" t="s">
        <v>514</v>
      </c>
      <c r="C24" s="116">
        <v>38469.7</v>
      </c>
      <c r="D24" s="114">
        <v>36834.2</v>
      </c>
      <c r="E24" s="10"/>
    </row>
    <row r="25" spans="1:5" ht="12.75">
      <c r="A25" s="43" t="s">
        <v>515</v>
      </c>
      <c r="B25" s="13" t="s">
        <v>516</v>
      </c>
      <c r="C25" s="114"/>
      <c r="D25" s="114"/>
      <c r="E25" s="10"/>
    </row>
    <row r="26" spans="1:5" ht="12.75">
      <c r="A26" s="43" t="s">
        <v>517</v>
      </c>
      <c r="B26" s="13" t="s">
        <v>518</v>
      </c>
      <c r="C26" s="114"/>
      <c r="D26" s="114"/>
      <c r="E26" s="10"/>
    </row>
    <row r="27" spans="1:5" ht="12.75">
      <c r="A27" s="43" t="s">
        <v>228</v>
      </c>
      <c r="B27" s="13" t="s">
        <v>519</v>
      </c>
      <c r="C27" s="114"/>
      <c r="D27" s="113"/>
      <c r="E27" s="10"/>
    </row>
    <row r="28" spans="1:5" ht="12.75">
      <c r="A28" s="43" t="s">
        <v>520</v>
      </c>
      <c r="B28" s="13" t="s">
        <v>521</v>
      </c>
      <c r="C28" s="114"/>
      <c r="D28" s="113"/>
      <c r="E28" s="10"/>
    </row>
    <row r="29" spans="1:5" ht="12.75">
      <c r="A29" s="43" t="s">
        <v>522</v>
      </c>
      <c r="B29" s="13" t="s">
        <v>523</v>
      </c>
      <c r="C29" s="114"/>
      <c r="D29" s="114"/>
      <c r="E29" s="10"/>
    </row>
    <row r="30" spans="1:5" ht="12.75">
      <c r="A30" s="43" t="s">
        <v>321</v>
      </c>
      <c r="B30" s="13" t="s">
        <v>524</v>
      </c>
      <c r="C30" s="114"/>
      <c r="D30" s="114"/>
      <c r="E30" s="10"/>
    </row>
    <row r="31" spans="1:5" ht="12.75">
      <c r="A31" s="117" t="s">
        <v>326</v>
      </c>
      <c r="B31" s="111" t="s">
        <v>525</v>
      </c>
      <c r="C31" s="118"/>
      <c r="D31" s="114"/>
      <c r="E31" s="74"/>
    </row>
    <row r="32" spans="1:5" ht="12.75">
      <c r="A32" s="43" t="s">
        <v>328</v>
      </c>
      <c r="B32" s="13" t="s">
        <v>526</v>
      </c>
      <c r="C32" s="119"/>
      <c r="D32" s="114"/>
      <c r="E32" s="10"/>
    </row>
    <row r="33" spans="1:5" ht="12.75">
      <c r="A33" s="43" t="s">
        <v>409</v>
      </c>
      <c r="B33" s="13" t="s">
        <v>527</v>
      </c>
      <c r="C33" s="119"/>
      <c r="D33" s="119"/>
      <c r="E33" s="10"/>
    </row>
    <row r="34" spans="1:5" ht="12.75">
      <c r="A34" s="87" t="s">
        <v>528</v>
      </c>
      <c r="B34" s="13" t="s">
        <v>529</v>
      </c>
      <c r="C34" s="120"/>
      <c r="D34" s="120"/>
      <c r="E34" s="57"/>
    </row>
    <row r="35" spans="1:5" ht="12.75">
      <c r="A35" s="87" t="s">
        <v>530</v>
      </c>
      <c r="B35" s="13" t="s">
        <v>531</v>
      </c>
      <c r="C35" s="120"/>
      <c r="D35" s="120"/>
      <c r="E35" s="57"/>
    </row>
    <row r="36" spans="1:5" ht="12.75">
      <c r="A36" s="43" t="s">
        <v>532</v>
      </c>
      <c r="B36" s="13" t="s">
        <v>533</v>
      </c>
      <c r="C36" s="120"/>
      <c r="D36" s="120"/>
      <c r="E36" s="57"/>
    </row>
    <row r="37" spans="1:5" ht="21.75" customHeight="1">
      <c r="A37" s="43" t="s">
        <v>534</v>
      </c>
      <c r="B37" s="13" t="s">
        <v>535</v>
      </c>
      <c r="C37" s="120"/>
      <c r="D37" s="120"/>
      <c r="E37" s="57"/>
    </row>
    <row r="38" spans="1:5" ht="12.75">
      <c r="A38" s="43" t="s">
        <v>536</v>
      </c>
      <c r="B38" s="13" t="s">
        <v>537</v>
      </c>
      <c r="C38" s="120"/>
      <c r="D38" s="114"/>
      <c r="E38" s="57"/>
    </row>
    <row r="39" spans="1:5" ht="12.75">
      <c r="A39" s="121"/>
      <c r="B39" s="122" t="s">
        <v>538</v>
      </c>
      <c r="C39" s="123">
        <f>C15</f>
        <v>48469.7</v>
      </c>
      <c r="D39" s="123">
        <f>D16+D23</f>
        <v>109867</v>
      </c>
      <c r="E39" s="124"/>
    </row>
    <row r="40" spans="1:5" ht="12.75">
      <c r="A40" s="125"/>
      <c r="B40" s="13" t="s">
        <v>539</v>
      </c>
      <c r="C40" s="120"/>
      <c r="D40" s="120"/>
      <c r="E40" s="57"/>
    </row>
    <row r="41" spans="1:5" ht="12.75">
      <c r="A41" s="125"/>
      <c r="B41" s="126" t="s">
        <v>540</v>
      </c>
      <c r="C41" s="120"/>
      <c r="D41" s="120"/>
      <c r="E41" s="57"/>
    </row>
    <row r="42" spans="1:5" ht="12.75">
      <c r="A42" s="125"/>
      <c r="B42" s="126" t="s">
        <v>541</v>
      </c>
      <c r="C42" s="120"/>
      <c r="D42" s="120"/>
      <c r="E42" s="57"/>
    </row>
    <row r="43" spans="1:5" ht="12.75">
      <c r="A43" s="127"/>
      <c r="B43" s="128"/>
      <c r="C43" s="94"/>
      <c r="D43" s="94"/>
      <c r="E43" s="129"/>
    </row>
    <row r="44" spans="1:4" ht="12.75">
      <c r="A44" s="127" t="s">
        <v>542</v>
      </c>
      <c r="C44" s="130"/>
      <c r="D44" s="130"/>
    </row>
    <row r="45" spans="1:4" ht="12.75">
      <c r="A45" s="127" t="s">
        <v>543</v>
      </c>
      <c r="C45" s="130"/>
      <c r="D45" s="130"/>
    </row>
    <row r="46" spans="1:4" ht="12.75">
      <c r="A46" s="127"/>
      <c r="C46" s="130"/>
      <c r="D46" s="130"/>
    </row>
    <row r="47" spans="1:5" ht="12.75">
      <c r="A47" s="131" t="s">
        <v>544</v>
      </c>
      <c r="B47" s="132"/>
      <c r="C47" s="130"/>
      <c r="D47" s="130"/>
      <c r="E47" s="94"/>
    </row>
  </sheetData>
  <sheetProtection selectLockedCells="1" selectUnlockedCells="1"/>
  <mergeCells count="5">
    <mergeCell ref="A1:E1"/>
    <mergeCell ref="A12:A14"/>
    <mergeCell ref="B12:B14"/>
    <mergeCell ref="C12:D13"/>
    <mergeCell ref="E12:E14"/>
  </mergeCells>
  <printOptions/>
  <pageMargins left="0.9840277777777777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CS349"/>
  <sheetViews>
    <sheetView zoomScale="63" zoomScaleNormal="63" zoomScaleSheetLayoutView="59" workbookViewId="0" topLeftCell="A1">
      <selection activeCell="N13" sqref="N13"/>
    </sheetView>
  </sheetViews>
  <sheetFormatPr defaultColWidth="9.00390625" defaultRowHeight="49.5" customHeight="1"/>
  <cols>
    <col min="1" max="1" width="9.50390625" style="1" customWidth="1"/>
    <col min="2" max="2" width="37.25390625" style="1" customWidth="1"/>
    <col min="3" max="3" width="9.00390625" style="1" customWidth="1"/>
    <col min="4" max="4" width="10.375" style="1" customWidth="1"/>
    <col min="5" max="5" width="13.50390625" style="1" customWidth="1"/>
    <col min="6" max="6" width="9.875" style="1" customWidth="1"/>
    <col min="7" max="7" width="9.875" style="99" customWidth="1"/>
    <col min="8" max="8" width="9.875" style="1" customWidth="1"/>
    <col min="9" max="9" width="13.125" style="1" customWidth="1"/>
    <col min="10" max="10" width="9.875" style="1" customWidth="1"/>
    <col min="11" max="11" width="12.875" style="1" customWidth="1"/>
    <col min="12" max="13" width="9.875" style="1" customWidth="1"/>
    <col min="14" max="14" width="13.50390625" style="133" customWidth="1"/>
    <col min="15" max="15" width="14.75390625" style="134" customWidth="1"/>
    <col min="16" max="17" width="9.875" style="133" customWidth="1"/>
    <col min="18" max="18" width="11.625" style="1" customWidth="1"/>
    <col min="19" max="19" width="10.875" style="135" customWidth="1"/>
    <col min="20" max="20" width="7.875" style="1" customWidth="1"/>
    <col min="21" max="22" width="9.00390625" style="1" customWidth="1"/>
    <col min="23" max="23" width="28.875" style="1" customWidth="1"/>
    <col min="24" max="96" width="9.00390625" style="94" customWidth="1"/>
    <col min="97" max="16384" width="9.00390625" style="1" customWidth="1"/>
  </cols>
  <sheetData>
    <row r="1" spans="1:23" ht="71.25" customHeight="1">
      <c r="A1" s="136" t="s">
        <v>545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</row>
    <row r="2" spans="19:26" ht="26.25" customHeight="1">
      <c r="S2" s="1"/>
      <c r="T2" s="137"/>
      <c r="U2" s="137"/>
      <c r="V2" s="137"/>
      <c r="W2" s="138" t="s">
        <v>489</v>
      </c>
      <c r="X2" s="137"/>
      <c r="Y2" s="137"/>
      <c r="Z2" s="138"/>
    </row>
    <row r="3" spans="19:26" ht="26.25" customHeight="1">
      <c r="S3" s="1"/>
      <c r="T3" s="137"/>
      <c r="U3" s="137"/>
      <c r="V3" s="137"/>
      <c r="W3" s="138" t="s">
        <v>546</v>
      </c>
      <c r="X3" s="137"/>
      <c r="Y3" s="137"/>
      <c r="Z3" s="138"/>
    </row>
    <row r="4" spans="19:26" ht="26.25" customHeight="1">
      <c r="S4" s="1"/>
      <c r="T4" s="137"/>
      <c r="U4" s="137"/>
      <c r="V4" s="137"/>
      <c r="W4" s="138" t="s">
        <v>491</v>
      </c>
      <c r="X4" s="137"/>
      <c r="Y4" s="137"/>
      <c r="Z4" s="138"/>
    </row>
    <row r="5" spans="19:26" ht="26.25" customHeight="1">
      <c r="S5" s="1"/>
      <c r="T5" s="137"/>
      <c r="U5" s="137"/>
      <c r="V5" s="137"/>
      <c r="W5" s="138" t="s">
        <v>492</v>
      </c>
      <c r="X5" s="137"/>
      <c r="Y5" s="137"/>
      <c r="Z5" s="138"/>
    </row>
    <row r="6" spans="1:26" ht="26.25" customHeight="1">
      <c r="A6" s="20"/>
      <c r="S6" s="1"/>
      <c r="T6" s="137"/>
      <c r="U6" s="137"/>
      <c r="V6" s="137"/>
      <c r="W6" s="138" t="s">
        <v>493</v>
      </c>
      <c r="X6" s="137"/>
      <c r="Y6" s="137"/>
      <c r="Z6" s="138"/>
    </row>
    <row r="7" spans="1:26" ht="26.25" customHeight="1">
      <c r="A7" s="20"/>
      <c r="S7" s="1"/>
      <c r="T7" s="137"/>
      <c r="U7" s="137"/>
      <c r="V7" s="137"/>
      <c r="W7" s="138" t="s">
        <v>494</v>
      </c>
      <c r="X7" s="137"/>
      <c r="Y7" s="137"/>
      <c r="Z7" s="138"/>
    </row>
    <row r="8" spans="19:26" ht="26.25" customHeight="1">
      <c r="S8" s="1"/>
      <c r="T8" s="137"/>
      <c r="U8" s="137"/>
      <c r="V8" s="137"/>
      <c r="W8" s="138" t="s">
        <v>495</v>
      </c>
      <c r="X8" s="137"/>
      <c r="Y8" s="137"/>
      <c r="Z8" s="138"/>
    </row>
    <row r="9" spans="21:23" ht="48.75" customHeight="1">
      <c r="U9" s="138"/>
      <c r="V9" s="138"/>
      <c r="W9" s="138"/>
    </row>
    <row r="10" spans="1:23" ht="126" customHeight="1">
      <c r="A10" s="3" t="s">
        <v>1</v>
      </c>
      <c r="B10" s="3" t="s">
        <v>547</v>
      </c>
      <c r="C10" s="3" t="s">
        <v>548</v>
      </c>
      <c r="D10" s="3" t="s">
        <v>549</v>
      </c>
      <c r="E10" s="3"/>
      <c r="F10" s="3"/>
      <c r="G10" s="3"/>
      <c r="H10" s="3"/>
      <c r="I10" s="3"/>
      <c r="J10" s="3"/>
      <c r="K10" s="3"/>
      <c r="L10" s="3"/>
      <c r="M10" s="3"/>
      <c r="N10" s="3" t="s">
        <v>550</v>
      </c>
      <c r="O10" s="3"/>
      <c r="P10" s="3" t="s">
        <v>551</v>
      </c>
      <c r="Q10" s="3"/>
      <c r="R10" s="4" t="s">
        <v>552</v>
      </c>
      <c r="S10" s="139" t="s">
        <v>553</v>
      </c>
      <c r="T10" s="139"/>
      <c r="U10" s="139"/>
      <c r="V10" s="139"/>
      <c r="W10" s="3" t="s">
        <v>498</v>
      </c>
    </row>
    <row r="11" spans="1:23" ht="31.5" customHeight="1">
      <c r="A11" s="3"/>
      <c r="B11" s="3"/>
      <c r="C11" s="3"/>
      <c r="D11" s="3" t="s">
        <v>554</v>
      </c>
      <c r="E11" s="3"/>
      <c r="F11" s="3" t="s">
        <v>555</v>
      </c>
      <c r="G11" s="3"/>
      <c r="H11" s="3" t="s">
        <v>556</v>
      </c>
      <c r="I11" s="3"/>
      <c r="J11" s="3" t="s">
        <v>557</v>
      </c>
      <c r="K11" s="3"/>
      <c r="L11" s="3" t="s">
        <v>558</v>
      </c>
      <c r="M11" s="3"/>
      <c r="N11" s="3"/>
      <c r="O11" s="3"/>
      <c r="P11" s="3"/>
      <c r="Q11" s="3"/>
      <c r="R11" s="4"/>
      <c r="S11" s="139" t="s">
        <v>559</v>
      </c>
      <c r="T11" s="3" t="s">
        <v>560</v>
      </c>
      <c r="U11" s="3" t="s">
        <v>561</v>
      </c>
      <c r="V11" s="3"/>
      <c r="W11" s="3"/>
    </row>
    <row r="12" spans="1:23" ht="94.5" customHeight="1">
      <c r="A12" s="3"/>
      <c r="B12" s="3"/>
      <c r="C12" s="3"/>
      <c r="D12" s="3" t="s">
        <v>562</v>
      </c>
      <c r="E12" s="3" t="s">
        <v>563</v>
      </c>
      <c r="F12" s="3" t="s">
        <v>564</v>
      </c>
      <c r="G12" s="3" t="s">
        <v>565</v>
      </c>
      <c r="H12" s="3" t="s">
        <v>564</v>
      </c>
      <c r="I12" s="3" t="s">
        <v>565</v>
      </c>
      <c r="J12" s="3" t="s">
        <v>564</v>
      </c>
      <c r="K12" s="3" t="s">
        <v>565</v>
      </c>
      <c r="L12" s="3" t="s">
        <v>564</v>
      </c>
      <c r="M12" s="3" t="s">
        <v>565</v>
      </c>
      <c r="N12" s="3" t="s">
        <v>554</v>
      </c>
      <c r="O12" s="140" t="s">
        <v>566</v>
      </c>
      <c r="P12" s="4" t="s">
        <v>554</v>
      </c>
      <c r="Q12" s="4" t="s">
        <v>567</v>
      </c>
      <c r="R12" s="4"/>
      <c r="S12" s="139"/>
      <c r="T12" s="3"/>
      <c r="U12" s="3" t="s">
        <v>568</v>
      </c>
      <c r="V12" s="3" t="s">
        <v>569</v>
      </c>
      <c r="W12" s="3"/>
    </row>
    <row r="13" spans="1:23" ht="33.75" customHeight="1">
      <c r="A13" s="68"/>
      <c r="B13" s="3" t="s">
        <v>570</v>
      </c>
      <c r="C13" s="68"/>
      <c r="D13" s="30">
        <f aca="true" t="shared" si="0" ref="D13:N13">D17+D81+D94+D112+D208+D213+D229+D271</f>
        <v>48469.685</v>
      </c>
      <c r="E13" s="30">
        <f t="shared" si="0"/>
        <v>109848.995</v>
      </c>
      <c r="F13" s="30">
        <f t="shared" si="0"/>
        <v>8500.530999999999</v>
      </c>
      <c r="G13" s="30">
        <f t="shared" si="0"/>
        <v>14384.266999999998</v>
      </c>
      <c r="H13" s="30">
        <f t="shared" si="0"/>
        <v>9635.294999999998</v>
      </c>
      <c r="I13" s="30">
        <f t="shared" si="0"/>
        <v>28201.74</v>
      </c>
      <c r="J13" s="30">
        <f t="shared" si="0"/>
        <v>18360.73</v>
      </c>
      <c r="K13" s="30">
        <f t="shared" si="0"/>
        <v>31435.011</v>
      </c>
      <c r="L13" s="30">
        <f t="shared" si="0"/>
        <v>11973.129</v>
      </c>
      <c r="M13" s="30">
        <f t="shared" si="0"/>
        <v>35827.977000000006</v>
      </c>
      <c r="N13" s="30">
        <f t="shared" si="0"/>
        <v>110819.439</v>
      </c>
      <c r="O13" s="30"/>
      <c r="P13" s="30"/>
      <c r="Q13" s="30"/>
      <c r="R13" s="68"/>
      <c r="S13" s="139"/>
      <c r="T13" s="3"/>
      <c r="U13" s="3"/>
      <c r="V13" s="3"/>
      <c r="W13" s="68"/>
    </row>
    <row r="14" spans="1:23" ht="25.5" customHeight="1">
      <c r="A14" s="68"/>
      <c r="B14" s="3" t="s">
        <v>571</v>
      </c>
      <c r="C14" s="68"/>
      <c r="D14" s="30">
        <v>0</v>
      </c>
      <c r="E14" s="30">
        <f aca="true" t="shared" si="1" ref="E14:N14">E17+E278</f>
        <v>60368.12500000001</v>
      </c>
      <c r="F14" s="30">
        <f t="shared" si="1"/>
        <v>0</v>
      </c>
      <c r="G14" s="30">
        <f t="shared" si="1"/>
        <v>6471.504999999999</v>
      </c>
      <c r="H14" s="30">
        <f t="shared" si="1"/>
        <v>0</v>
      </c>
      <c r="I14" s="30">
        <f t="shared" si="1"/>
        <v>18442.550000000003</v>
      </c>
      <c r="J14" s="30">
        <f t="shared" si="1"/>
        <v>0</v>
      </c>
      <c r="K14" s="30">
        <f t="shared" si="1"/>
        <v>13383.831999999999</v>
      </c>
      <c r="L14" s="30">
        <f t="shared" si="1"/>
        <v>0</v>
      </c>
      <c r="M14" s="30">
        <f t="shared" si="1"/>
        <v>22070.238000000005</v>
      </c>
      <c r="N14" s="30">
        <f t="shared" si="1"/>
        <v>60368.12500000001</v>
      </c>
      <c r="O14" s="24"/>
      <c r="P14" s="30"/>
      <c r="Q14" s="30"/>
      <c r="R14" s="68"/>
      <c r="S14" s="139"/>
      <c r="T14" s="3"/>
      <c r="U14" s="3"/>
      <c r="V14" s="3"/>
      <c r="W14" s="68"/>
    </row>
    <row r="15" spans="1:23" ht="18" customHeight="1">
      <c r="A15" s="68"/>
      <c r="B15" s="3" t="s">
        <v>572</v>
      </c>
      <c r="C15" s="68"/>
      <c r="D15" s="33">
        <f aca="true" t="shared" si="2" ref="D15:N15">D13-D14</f>
        <v>48469.685</v>
      </c>
      <c r="E15" s="33">
        <f t="shared" si="2"/>
        <v>49480.86999999999</v>
      </c>
      <c r="F15" s="30">
        <f t="shared" si="2"/>
        <v>8500.530999999999</v>
      </c>
      <c r="G15" s="30">
        <f t="shared" si="2"/>
        <v>7912.761999999999</v>
      </c>
      <c r="H15" s="30">
        <f t="shared" si="2"/>
        <v>9635.294999999998</v>
      </c>
      <c r="I15" s="30">
        <f t="shared" si="2"/>
        <v>9759.189999999999</v>
      </c>
      <c r="J15" s="30">
        <f t="shared" si="2"/>
        <v>18360.73</v>
      </c>
      <c r="K15" s="30">
        <f t="shared" si="2"/>
        <v>18051.179</v>
      </c>
      <c r="L15" s="30">
        <f t="shared" si="2"/>
        <v>11973.129</v>
      </c>
      <c r="M15" s="30">
        <f t="shared" si="2"/>
        <v>13757.739000000001</v>
      </c>
      <c r="N15" s="30">
        <f t="shared" si="2"/>
        <v>50451.31399999999</v>
      </c>
      <c r="O15" s="24"/>
      <c r="P15" s="30"/>
      <c r="Q15" s="30"/>
      <c r="R15" s="68"/>
      <c r="S15" s="139"/>
      <c r="T15" s="3"/>
      <c r="U15" s="3"/>
      <c r="V15" s="3"/>
      <c r="W15" s="68"/>
    </row>
    <row r="16" spans="1:23" ht="31.5" customHeight="1">
      <c r="A16" s="3" t="s">
        <v>573</v>
      </c>
      <c r="B16" s="3" t="s">
        <v>29</v>
      </c>
      <c r="C16" s="3"/>
      <c r="D16" s="3"/>
      <c r="E16" s="3"/>
      <c r="F16" s="8"/>
      <c r="G16" s="8"/>
      <c r="H16" s="8"/>
      <c r="I16" s="8"/>
      <c r="J16" s="8"/>
      <c r="K16" s="8"/>
      <c r="L16" s="8"/>
      <c r="M16" s="141"/>
      <c r="N16" s="10"/>
      <c r="O16" s="142"/>
      <c r="P16" s="143"/>
      <c r="Q16" s="143"/>
      <c r="R16" s="143"/>
      <c r="S16" s="144"/>
      <c r="T16" s="143"/>
      <c r="U16" s="10"/>
      <c r="V16" s="10"/>
      <c r="W16" s="10"/>
    </row>
    <row r="17" spans="1:96" s="151" customFormat="1" ht="31.5" customHeight="1">
      <c r="A17" s="145" t="s">
        <v>31</v>
      </c>
      <c r="B17" s="146" t="s">
        <v>32</v>
      </c>
      <c r="C17" s="146"/>
      <c r="D17" s="146"/>
      <c r="E17" s="146">
        <f>G17+I17+K17+M17</f>
        <v>6783.83</v>
      </c>
      <c r="F17" s="146">
        <f>SUM(F18:F57)</f>
        <v>0</v>
      </c>
      <c r="G17" s="146">
        <f>SUM(G18:G22)</f>
        <v>708.5550000000001</v>
      </c>
      <c r="H17" s="146">
        <f>SUM(H18:H57)</f>
        <v>0</v>
      </c>
      <c r="I17" s="146">
        <f>SUM(I18:I41)</f>
        <v>1808.4500000000003</v>
      </c>
      <c r="J17" s="146">
        <f>SUM(J18:J57)</f>
        <v>0</v>
      </c>
      <c r="K17" s="146">
        <f>SUM(K18:K57)</f>
        <v>1726.156</v>
      </c>
      <c r="L17" s="146">
        <f>SUM(L18:L57)</f>
        <v>0</v>
      </c>
      <c r="M17" s="146">
        <f>SUM(M18:M80)</f>
        <v>2540.6690000000003</v>
      </c>
      <c r="N17" s="147">
        <f>SUM(N18:N80)</f>
        <v>6783.83</v>
      </c>
      <c r="O17" s="146"/>
      <c r="P17" s="146"/>
      <c r="Q17" s="146"/>
      <c r="R17" s="148"/>
      <c r="S17" s="148"/>
      <c r="T17" s="148"/>
      <c r="U17" s="149"/>
      <c r="V17" s="149"/>
      <c r="W17" s="149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</row>
    <row r="18" spans="1:23" s="1" customFormat="1" ht="15.75" customHeight="1">
      <c r="A18" s="14" t="s">
        <v>574</v>
      </c>
      <c r="B18" s="13" t="s">
        <v>575</v>
      </c>
      <c r="C18" s="13"/>
      <c r="D18" s="8"/>
      <c r="E18" s="8">
        <v>99.6</v>
      </c>
      <c r="F18" s="8">
        <v>0</v>
      </c>
      <c r="G18" s="8">
        <v>99.6</v>
      </c>
      <c r="H18" s="13"/>
      <c r="I18" s="13"/>
      <c r="J18" s="13"/>
      <c r="K18" s="13"/>
      <c r="L18" s="8"/>
      <c r="M18" s="8"/>
      <c r="N18" s="8">
        <v>99.6</v>
      </c>
      <c r="O18" s="23"/>
      <c r="P18" s="152"/>
      <c r="Q18" s="152"/>
      <c r="R18" s="152"/>
      <c r="S18" s="153"/>
      <c r="T18" s="152"/>
      <c r="U18" s="8"/>
      <c r="V18" s="8"/>
      <c r="W18" s="8" t="s">
        <v>576</v>
      </c>
    </row>
    <row r="19" spans="1:23" s="1" customFormat="1" ht="31.5" customHeight="1">
      <c r="A19" s="14" t="s">
        <v>577</v>
      </c>
      <c r="B19" s="13" t="s">
        <v>578</v>
      </c>
      <c r="C19" s="13"/>
      <c r="D19" s="8"/>
      <c r="E19" s="8">
        <v>332.9</v>
      </c>
      <c r="F19" s="8">
        <v>0</v>
      </c>
      <c r="G19" s="8">
        <v>332.9</v>
      </c>
      <c r="H19" s="13"/>
      <c r="I19" s="13"/>
      <c r="J19" s="13"/>
      <c r="K19" s="13"/>
      <c r="L19" s="8"/>
      <c r="M19" s="8"/>
      <c r="N19" s="8">
        <v>332.9</v>
      </c>
      <c r="O19" s="23"/>
      <c r="P19" s="152"/>
      <c r="Q19" s="152"/>
      <c r="R19" s="152"/>
      <c r="S19" s="153"/>
      <c r="T19" s="152"/>
      <c r="U19" s="8"/>
      <c r="V19" s="8"/>
      <c r="W19" s="8" t="s">
        <v>579</v>
      </c>
    </row>
    <row r="20" spans="1:23" s="1" customFormat="1" ht="31.5" customHeight="1">
      <c r="A20" s="14" t="s">
        <v>580</v>
      </c>
      <c r="B20" s="13" t="s">
        <v>581</v>
      </c>
      <c r="C20" s="13"/>
      <c r="D20" s="8"/>
      <c r="E20" s="8">
        <v>141.86</v>
      </c>
      <c r="F20" s="8">
        <v>0</v>
      </c>
      <c r="G20" s="8">
        <v>141.86</v>
      </c>
      <c r="H20" s="13"/>
      <c r="I20" s="13"/>
      <c r="J20" s="13"/>
      <c r="K20" s="13"/>
      <c r="L20" s="8"/>
      <c r="M20" s="8"/>
      <c r="N20" s="8">
        <v>141.86</v>
      </c>
      <c r="O20" s="23"/>
      <c r="P20" s="152"/>
      <c r="Q20" s="152"/>
      <c r="R20" s="152"/>
      <c r="S20" s="153"/>
      <c r="T20" s="152"/>
      <c r="U20" s="8"/>
      <c r="V20" s="8"/>
      <c r="W20" s="8" t="s">
        <v>579</v>
      </c>
    </row>
    <row r="21" spans="1:23" s="1" customFormat="1" ht="15.75" customHeight="1">
      <c r="A21" s="14" t="s">
        <v>582</v>
      </c>
      <c r="B21" s="13" t="s">
        <v>583</v>
      </c>
      <c r="C21" s="13"/>
      <c r="D21" s="8"/>
      <c r="E21" s="8">
        <v>71.72</v>
      </c>
      <c r="F21" s="8">
        <v>0</v>
      </c>
      <c r="G21" s="8">
        <v>71.72</v>
      </c>
      <c r="H21" s="13"/>
      <c r="I21" s="13"/>
      <c r="J21" s="13"/>
      <c r="K21" s="13"/>
      <c r="L21" s="8"/>
      <c r="M21" s="8"/>
      <c r="N21" s="8">
        <v>71.72</v>
      </c>
      <c r="O21" s="23"/>
      <c r="P21" s="152"/>
      <c r="Q21" s="152"/>
      <c r="R21" s="152"/>
      <c r="S21" s="153"/>
      <c r="T21" s="152"/>
      <c r="U21" s="8"/>
      <c r="V21" s="8"/>
      <c r="W21" s="8" t="s">
        <v>576</v>
      </c>
    </row>
    <row r="22" spans="1:23" s="1" customFormat="1" ht="31.5" customHeight="1">
      <c r="A22" s="14" t="s">
        <v>584</v>
      </c>
      <c r="B22" s="13" t="s">
        <v>585</v>
      </c>
      <c r="C22" s="13"/>
      <c r="D22" s="8"/>
      <c r="E22" s="8">
        <v>62.475</v>
      </c>
      <c r="F22" s="8">
        <v>0</v>
      </c>
      <c r="G22" s="8">
        <v>62.475</v>
      </c>
      <c r="H22" s="13"/>
      <c r="I22" s="13"/>
      <c r="J22" s="13"/>
      <c r="K22" s="13"/>
      <c r="L22" s="8"/>
      <c r="M22" s="8"/>
      <c r="N22" s="8">
        <v>62.475</v>
      </c>
      <c r="O22" s="23"/>
      <c r="P22" s="152"/>
      <c r="Q22" s="152"/>
      <c r="R22" s="152"/>
      <c r="S22" s="153"/>
      <c r="T22" s="152"/>
      <c r="U22" s="8"/>
      <c r="V22" s="8"/>
      <c r="W22" s="8" t="s">
        <v>576</v>
      </c>
    </row>
    <row r="23" spans="1:23" s="1" customFormat="1" ht="15.75" customHeight="1">
      <c r="A23" s="14" t="s">
        <v>586</v>
      </c>
      <c r="B23" s="154" t="s">
        <v>587</v>
      </c>
      <c r="C23" s="13"/>
      <c r="D23" s="8"/>
      <c r="E23" s="8">
        <v>36.574</v>
      </c>
      <c r="F23" s="8"/>
      <c r="G23" s="8"/>
      <c r="H23" s="8">
        <v>0</v>
      </c>
      <c r="I23" s="8">
        <v>36.574</v>
      </c>
      <c r="J23" s="13"/>
      <c r="K23" s="13"/>
      <c r="L23" s="8"/>
      <c r="M23" s="8"/>
      <c r="N23" s="8">
        <v>36.574</v>
      </c>
      <c r="O23" s="23"/>
      <c r="P23" s="152"/>
      <c r="Q23" s="152"/>
      <c r="R23" s="152"/>
      <c r="S23" s="153"/>
      <c r="T23" s="152"/>
      <c r="U23" s="8"/>
      <c r="V23" s="8"/>
      <c r="W23" s="8" t="s">
        <v>576</v>
      </c>
    </row>
    <row r="24" spans="1:23" s="1" customFormat="1" ht="31.5" customHeight="1">
      <c r="A24" s="14" t="s">
        <v>588</v>
      </c>
      <c r="B24" s="154" t="s">
        <v>589</v>
      </c>
      <c r="C24" s="13"/>
      <c r="D24" s="8"/>
      <c r="E24" s="8">
        <v>102.56</v>
      </c>
      <c r="F24" s="8"/>
      <c r="G24" s="8"/>
      <c r="H24" s="8">
        <v>0</v>
      </c>
      <c r="I24" s="8">
        <v>102.56</v>
      </c>
      <c r="J24" s="13"/>
      <c r="K24" s="13"/>
      <c r="L24" s="8"/>
      <c r="M24" s="8"/>
      <c r="N24" s="8">
        <v>102.56</v>
      </c>
      <c r="O24" s="23"/>
      <c r="P24" s="152"/>
      <c r="Q24" s="152"/>
      <c r="R24" s="152"/>
      <c r="S24" s="153"/>
      <c r="T24" s="152"/>
      <c r="U24" s="8"/>
      <c r="V24" s="8"/>
      <c r="W24" s="8" t="s">
        <v>576</v>
      </c>
    </row>
    <row r="25" spans="1:23" s="1" customFormat="1" ht="31.5" customHeight="1">
      <c r="A25" s="14" t="s">
        <v>590</v>
      </c>
      <c r="B25" s="154" t="s">
        <v>591</v>
      </c>
      <c r="C25" s="13"/>
      <c r="D25" s="8"/>
      <c r="E25" s="8">
        <v>115.88</v>
      </c>
      <c r="F25" s="8"/>
      <c r="G25" s="8"/>
      <c r="H25" s="8">
        <v>0</v>
      </c>
      <c r="I25" s="8">
        <v>115.88</v>
      </c>
      <c r="J25" s="13"/>
      <c r="K25" s="13"/>
      <c r="L25" s="8"/>
      <c r="M25" s="8"/>
      <c r="N25" s="8">
        <v>115.88</v>
      </c>
      <c r="O25" s="23"/>
      <c r="P25" s="152"/>
      <c r="Q25" s="152"/>
      <c r="R25" s="152"/>
      <c r="S25" s="153"/>
      <c r="T25" s="152"/>
      <c r="U25" s="8"/>
      <c r="V25" s="8"/>
      <c r="W25" s="8" t="s">
        <v>576</v>
      </c>
    </row>
    <row r="26" spans="1:23" s="1" customFormat="1" ht="25.5" customHeight="1">
      <c r="A26" s="14" t="s">
        <v>592</v>
      </c>
      <c r="B26" s="154" t="s">
        <v>593</v>
      </c>
      <c r="C26" s="13"/>
      <c r="D26" s="8"/>
      <c r="E26" s="8">
        <v>351.123</v>
      </c>
      <c r="F26" s="8"/>
      <c r="G26" s="8"/>
      <c r="H26" s="8">
        <v>0</v>
      </c>
      <c r="I26" s="8">
        <v>351.123</v>
      </c>
      <c r="J26" s="13"/>
      <c r="K26" s="13"/>
      <c r="L26" s="8"/>
      <c r="M26" s="8"/>
      <c r="N26" s="8">
        <v>351.123</v>
      </c>
      <c r="O26" s="23"/>
      <c r="P26" s="152"/>
      <c r="Q26" s="152"/>
      <c r="R26" s="152"/>
      <c r="S26" s="153"/>
      <c r="T26" s="152"/>
      <c r="U26" s="8"/>
      <c r="V26" s="8"/>
      <c r="W26" s="8" t="s">
        <v>579</v>
      </c>
    </row>
    <row r="27" spans="1:23" s="1" customFormat="1" ht="31.5" customHeight="1">
      <c r="A27" s="14" t="s">
        <v>594</v>
      </c>
      <c r="B27" s="154" t="s">
        <v>595</v>
      </c>
      <c r="C27" s="13"/>
      <c r="D27" s="8"/>
      <c r="E27" s="8">
        <v>29.062</v>
      </c>
      <c r="F27" s="8"/>
      <c r="G27" s="8"/>
      <c r="H27" s="8">
        <v>0</v>
      </c>
      <c r="I27" s="8">
        <v>29.062</v>
      </c>
      <c r="J27" s="13"/>
      <c r="K27" s="13"/>
      <c r="L27" s="8"/>
      <c r="M27" s="8"/>
      <c r="N27" s="8">
        <v>29.062</v>
      </c>
      <c r="O27" s="23"/>
      <c r="P27" s="152"/>
      <c r="Q27" s="152"/>
      <c r="R27" s="152"/>
      <c r="S27" s="153"/>
      <c r="T27" s="152"/>
      <c r="U27" s="8"/>
      <c r="V27" s="8"/>
      <c r="W27" s="8" t="s">
        <v>576</v>
      </c>
    </row>
    <row r="28" spans="1:23" s="1" customFormat="1" ht="15.75" customHeight="1">
      <c r="A28" s="14" t="s">
        <v>596</v>
      </c>
      <c r="B28" s="154" t="s">
        <v>597</v>
      </c>
      <c r="C28" s="13"/>
      <c r="D28" s="8"/>
      <c r="E28" s="8">
        <v>22.984</v>
      </c>
      <c r="F28" s="8"/>
      <c r="G28" s="8"/>
      <c r="H28" s="8">
        <v>0</v>
      </c>
      <c r="I28" s="8">
        <v>22.984</v>
      </c>
      <c r="J28" s="13"/>
      <c r="K28" s="13"/>
      <c r="L28" s="8"/>
      <c r="M28" s="8"/>
      <c r="N28" s="8">
        <v>22.984</v>
      </c>
      <c r="O28" s="32"/>
      <c r="P28" s="152"/>
      <c r="Q28" s="152"/>
      <c r="R28" s="152"/>
      <c r="S28" s="153"/>
      <c r="T28" s="152"/>
      <c r="U28" s="8"/>
      <c r="V28" s="8"/>
      <c r="W28" s="8" t="s">
        <v>576</v>
      </c>
    </row>
    <row r="29" spans="1:23" s="1" customFormat="1" ht="15.75" customHeight="1">
      <c r="A29" s="14" t="s">
        <v>598</v>
      </c>
      <c r="B29" s="154" t="s">
        <v>599</v>
      </c>
      <c r="C29" s="13"/>
      <c r="D29" s="8"/>
      <c r="E29" s="8">
        <v>40.32</v>
      </c>
      <c r="F29" s="8"/>
      <c r="G29" s="8"/>
      <c r="H29" s="8">
        <v>0</v>
      </c>
      <c r="I29" s="8">
        <v>40.32</v>
      </c>
      <c r="J29" s="13"/>
      <c r="K29" s="13"/>
      <c r="L29" s="8"/>
      <c r="M29" s="8"/>
      <c r="N29" s="8">
        <v>40.32</v>
      </c>
      <c r="O29" s="32"/>
      <c r="P29" s="152"/>
      <c r="Q29" s="152"/>
      <c r="R29" s="152"/>
      <c r="S29" s="153"/>
      <c r="T29" s="152"/>
      <c r="U29" s="8"/>
      <c r="V29" s="8"/>
      <c r="W29" s="8" t="s">
        <v>576</v>
      </c>
    </row>
    <row r="30" spans="1:23" s="1" customFormat="1" ht="31.5" customHeight="1">
      <c r="A30" s="14" t="s">
        <v>600</v>
      </c>
      <c r="B30" s="154" t="s">
        <v>601</v>
      </c>
      <c r="C30" s="13"/>
      <c r="D30" s="8"/>
      <c r="E30" s="8">
        <v>137.973</v>
      </c>
      <c r="F30" s="8"/>
      <c r="G30" s="8"/>
      <c r="H30" s="8">
        <v>0</v>
      </c>
      <c r="I30" s="8">
        <v>137.973</v>
      </c>
      <c r="J30" s="13"/>
      <c r="K30" s="13"/>
      <c r="L30" s="8"/>
      <c r="M30" s="8"/>
      <c r="N30" s="8">
        <v>137.973</v>
      </c>
      <c r="O30" s="32"/>
      <c r="P30" s="152"/>
      <c r="Q30" s="152"/>
      <c r="R30" s="152"/>
      <c r="S30" s="153"/>
      <c r="T30" s="152"/>
      <c r="U30" s="8"/>
      <c r="V30" s="8"/>
      <c r="W30" s="8" t="s">
        <v>576</v>
      </c>
    </row>
    <row r="31" spans="1:23" s="1" customFormat="1" ht="31.5" customHeight="1">
      <c r="A31" s="14" t="s">
        <v>602</v>
      </c>
      <c r="B31" s="154" t="s">
        <v>603</v>
      </c>
      <c r="C31" s="13"/>
      <c r="D31" s="8"/>
      <c r="E31" s="8">
        <v>171.67</v>
      </c>
      <c r="F31" s="8"/>
      <c r="G31" s="8"/>
      <c r="H31" s="8">
        <v>0</v>
      </c>
      <c r="I31" s="8">
        <v>171.67</v>
      </c>
      <c r="J31" s="13"/>
      <c r="K31" s="13"/>
      <c r="L31" s="8"/>
      <c r="M31" s="8"/>
      <c r="N31" s="8">
        <v>171.67</v>
      </c>
      <c r="O31" s="32"/>
      <c r="P31" s="152"/>
      <c r="Q31" s="152"/>
      <c r="R31" s="152"/>
      <c r="S31" s="153"/>
      <c r="T31" s="152"/>
      <c r="U31" s="8"/>
      <c r="V31" s="8"/>
      <c r="W31" s="8" t="s">
        <v>604</v>
      </c>
    </row>
    <row r="32" spans="1:23" s="1" customFormat="1" ht="15.75" customHeight="1">
      <c r="A32" s="14" t="s">
        <v>605</v>
      </c>
      <c r="B32" s="13" t="s">
        <v>606</v>
      </c>
      <c r="C32" s="13"/>
      <c r="D32" s="8"/>
      <c r="E32" s="8">
        <v>27</v>
      </c>
      <c r="F32" s="8"/>
      <c r="G32" s="8"/>
      <c r="H32" s="8">
        <v>0</v>
      </c>
      <c r="I32" s="8">
        <v>27</v>
      </c>
      <c r="J32" s="13"/>
      <c r="K32" s="13"/>
      <c r="L32" s="8"/>
      <c r="M32" s="8"/>
      <c r="N32" s="8">
        <v>27</v>
      </c>
      <c r="O32" s="23"/>
      <c r="P32" s="152"/>
      <c r="Q32" s="152"/>
      <c r="R32" s="152"/>
      <c r="S32" s="153"/>
      <c r="T32" s="152"/>
      <c r="U32" s="8"/>
      <c r="V32" s="8"/>
      <c r="W32" s="8" t="s">
        <v>576</v>
      </c>
    </row>
    <row r="33" spans="1:23" s="1" customFormat="1" ht="15.75" customHeight="1">
      <c r="A33" s="14" t="s">
        <v>607</v>
      </c>
      <c r="B33" s="13" t="s">
        <v>608</v>
      </c>
      <c r="C33" s="13"/>
      <c r="D33" s="8"/>
      <c r="E33" s="8">
        <v>148.945</v>
      </c>
      <c r="F33" s="8"/>
      <c r="G33" s="8"/>
      <c r="H33" s="8">
        <v>0</v>
      </c>
      <c r="I33" s="8">
        <v>148.945</v>
      </c>
      <c r="J33" s="13"/>
      <c r="K33" s="13"/>
      <c r="L33" s="8"/>
      <c r="M33" s="8"/>
      <c r="N33" s="8">
        <v>148.945</v>
      </c>
      <c r="O33" s="23"/>
      <c r="P33" s="152"/>
      <c r="Q33" s="152"/>
      <c r="R33" s="152"/>
      <c r="S33" s="153"/>
      <c r="T33" s="152"/>
      <c r="U33" s="8"/>
      <c r="V33" s="8"/>
      <c r="W33" s="8" t="s">
        <v>576</v>
      </c>
    </row>
    <row r="34" spans="1:23" s="1" customFormat="1" ht="15.75" customHeight="1">
      <c r="A34" s="14" t="s">
        <v>609</v>
      </c>
      <c r="B34" s="154" t="s">
        <v>610</v>
      </c>
      <c r="C34" s="13"/>
      <c r="D34" s="8"/>
      <c r="E34" s="8">
        <v>42.6</v>
      </c>
      <c r="F34" s="8"/>
      <c r="G34" s="8"/>
      <c r="H34" s="8">
        <v>0</v>
      </c>
      <c r="I34" s="8">
        <v>42.6</v>
      </c>
      <c r="J34" s="13"/>
      <c r="K34" s="13"/>
      <c r="L34" s="8"/>
      <c r="M34" s="8"/>
      <c r="N34" s="8">
        <v>42.6</v>
      </c>
      <c r="O34" s="28"/>
      <c r="P34" s="152"/>
      <c r="Q34" s="152"/>
      <c r="R34" s="152"/>
      <c r="S34" s="153"/>
      <c r="T34" s="152"/>
      <c r="U34" s="8"/>
      <c r="V34" s="8"/>
      <c r="W34" s="8" t="s">
        <v>576</v>
      </c>
    </row>
    <row r="35" spans="1:23" s="1" customFormat="1" ht="15.75" customHeight="1">
      <c r="A35" s="14" t="s">
        <v>611</v>
      </c>
      <c r="B35" s="154" t="s">
        <v>612</v>
      </c>
      <c r="C35" s="13"/>
      <c r="D35" s="8"/>
      <c r="E35" s="8">
        <v>39.114</v>
      </c>
      <c r="F35" s="8"/>
      <c r="G35" s="8"/>
      <c r="H35" s="8">
        <v>0</v>
      </c>
      <c r="I35" s="8">
        <v>39.114</v>
      </c>
      <c r="J35" s="13"/>
      <c r="K35" s="13"/>
      <c r="L35" s="8"/>
      <c r="M35" s="8"/>
      <c r="N35" s="8">
        <v>39.114</v>
      </c>
      <c r="O35" s="23"/>
      <c r="P35" s="152"/>
      <c r="Q35" s="152"/>
      <c r="R35" s="152"/>
      <c r="S35" s="153"/>
      <c r="T35" s="152"/>
      <c r="U35" s="8"/>
      <c r="V35" s="8"/>
      <c r="W35" s="8" t="s">
        <v>576</v>
      </c>
    </row>
    <row r="36" spans="1:23" s="1" customFormat="1" ht="31.5" customHeight="1">
      <c r="A36" s="14" t="s">
        <v>613</v>
      </c>
      <c r="B36" s="154" t="s">
        <v>614</v>
      </c>
      <c r="C36" s="13"/>
      <c r="D36" s="8"/>
      <c r="E36" s="8">
        <v>70.72</v>
      </c>
      <c r="F36" s="8"/>
      <c r="G36" s="8"/>
      <c r="H36" s="8">
        <v>0</v>
      </c>
      <c r="I36" s="8">
        <v>70.72</v>
      </c>
      <c r="J36" s="13"/>
      <c r="K36" s="13"/>
      <c r="L36" s="8"/>
      <c r="M36" s="8"/>
      <c r="N36" s="8">
        <v>70.72</v>
      </c>
      <c r="O36" s="32"/>
      <c r="P36" s="152"/>
      <c r="Q36" s="152"/>
      <c r="R36" s="152"/>
      <c r="S36" s="153"/>
      <c r="T36" s="152"/>
      <c r="U36" s="8"/>
      <c r="V36" s="8"/>
      <c r="W36" s="8" t="s">
        <v>576</v>
      </c>
    </row>
    <row r="37" spans="1:23" s="1" customFormat="1" ht="31.5" customHeight="1">
      <c r="A37" s="14" t="s">
        <v>615</v>
      </c>
      <c r="B37" s="154" t="s">
        <v>616</v>
      </c>
      <c r="C37" s="13"/>
      <c r="D37" s="8"/>
      <c r="E37" s="8">
        <v>176.997</v>
      </c>
      <c r="F37" s="8"/>
      <c r="G37" s="8"/>
      <c r="H37" s="8">
        <v>0</v>
      </c>
      <c r="I37" s="8">
        <v>176.997</v>
      </c>
      <c r="J37" s="13"/>
      <c r="K37" s="13"/>
      <c r="L37" s="8"/>
      <c r="M37" s="8"/>
      <c r="N37" s="8">
        <v>176.997</v>
      </c>
      <c r="O37" s="23"/>
      <c r="P37" s="152"/>
      <c r="Q37" s="152"/>
      <c r="R37" s="152"/>
      <c r="S37" s="153"/>
      <c r="T37" s="152"/>
      <c r="U37" s="8"/>
      <c r="V37" s="8"/>
      <c r="W37" s="8" t="s">
        <v>579</v>
      </c>
    </row>
    <row r="38" spans="1:23" s="1" customFormat="1" ht="15.75" customHeight="1">
      <c r="A38" s="14" t="s">
        <v>617</v>
      </c>
      <c r="B38" s="13" t="s">
        <v>618</v>
      </c>
      <c r="C38" s="13"/>
      <c r="D38" s="8"/>
      <c r="E38" s="23">
        <v>130.035</v>
      </c>
      <c r="F38" s="8"/>
      <c r="G38" s="8"/>
      <c r="H38" s="8">
        <v>0</v>
      </c>
      <c r="I38" s="8">
        <v>62.957</v>
      </c>
      <c r="J38" s="8">
        <v>0</v>
      </c>
      <c r="K38" s="8">
        <v>67.078</v>
      </c>
      <c r="L38" s="8"/>
      <c r="M38" s="8"/>
      <c r="N38" s="23">
        <v>130.035</v>
      </c>
      <c r="O38" s="32"/>
      <c r="P38" s="152"/>
      <c r="Q38" s="152"/>
      <c r="R38" s="152"/>
      <c r="S38" s="153"/>
      <c r="T38" s="152"/>
      <c r="U38" s="8"/>
      <c r="V38" s="8"/>
      <c r="W38" s="8" t="s">
        <v>576</v>
      </c>
    </row>
    <row r="39" spans="1:23" s="1" customFormat="1" ht="15.75" customHeight="1">
      <c r="A39" s="14" t="s">
        <v>619</v>
      </c>
      <c r="B39" s="13" t="s">
        <v>620</v>
      </c>
      <c r="C39" s="13"/>
      <c r="D39" s="8"/>
      <c r="E39" s="8">
        <v>120.84</v>
      </c>
      <c r="F39" s="8"/>
      <c r="G39" s="8"/>
      <c r="H39" s="8">
        <v>0</v>
      </c>
      <c r="I39" s="8">
        <v>120.84</v>
      </c>
      <c r="J39" s="13"/>
      <c r="K39" s="8"/>
      <c r="L39" s="8"/>
      <c r="M39" s="8"/>
      <c r="N39" s="8">
        <v>120.84</v>
      </c>
      <c r="O39" s="23"/>
      <c r="P39" s="152"/>
      <c r="Q39" s="152"/>
      <c r="R39" s="152"/>
      <c r="S39" s="153"/>
      <c r="T39" s="152"/>
      <c r="U39" s="8"/>
      <c r="V39" s="8"/>
      <c r="W39" s="8" t="s">
        <v>576</v>
      </c>
    </row>
    <row r="40" spans="1:23" s="1" customFormat="1" ht="15.75" customHeight="1">
      <c r="A40" s="14" t="s">
        <v>621</v>
      </c>
      <c r="B40" s="13" t="s">
        <v>622</v>
      </c>
      <c r="C40" s="13"/>
      <c r="D40" s="8"/>
      <c r="E40" s="8">
        <v>80.653</v>
      </c>
      <c r="F40" s="8"/>
      <c r="G40" s="8"/>
      <c r="H40" s="8">
        <v>0</v>
      </c>
      <c r="I40" s="8">
        <v>80.653</v>
      </c>
      <c r="J40" s="13"/>
      <c r="K40" s="8"/>
      <c r="L40" s="8"/>
      <c r="M40" s="8"/>
      <c r="N40" s="8">
        <v>80.653</v>
      </c>
      <c r="O40" s="23"/>
      <c r="P40" s="152"/>
      <c r="Q40" s="152"/>
      <c r="R40" s="152"/>
      <c r="S40" s="153"/>
      <c r="T40" s="152"/>
      <c r="U40" s="8"/>
      <c r="V40" s="8"/>
      <c r="W40" s="8" t="s">
        <v>576</v>
      </c>
    </row>
    <row r="41" spans="1:23" s="1" customFormat="1" ht="15.75" customHeight="1">
      <c r="A41" s="14" t="s">
        <v>623</v>
      </c>
      <c r="B41" s="13" t="s">
        <v>624</v>
      </c>
      <c r="C41" s="13"/>
      <c r="D41" s="8"/>
      <c r="E41" s="23">
        <v>238.241</v>
      </c>
      <c r="F41" s="8"/>
      <c r="G41" s="8"/>
      <c r="H41" s="8">
        <v>0</v>
      </c>
      <c r="I41" s="8">
        <v>30.478</v>
      </c>
      <c r="J41" s="8">
        <v>0</v>
      </c>
      <c r="K41" s="8">
        <v>63.238</v>
      </c>
      <c r="L41" s="8">
        <v>0</v>
      </c>
      <c r="M41" s="155">
        <v>144.525</v>
      </c>
      <c r="N41" s="23">
        <v>238.241</v>
      </c>
      <c r="O41" s="23"/>
      <c r="P41" s="152"/>
      <c r="Q41" s="152"/>
      <c r="R41" s="152"/>
      <c r="S41" s="153"/>
      <c r="T41" s="152"/>
      <c r="U41" s="8"/>
      <c r="V41" s="8"/>
      <c r="W41" s="8" t="s">
        <v>576</v>
      </c>
    </row>
    <row r="42" spans="1:23" s="1" customFormat="1" ht="31.5" customHeight="1">
      <c r="A42" s="14" t="s">
        <v>625</v>
      </c>
      <c r="B42" s="13" t="s">
        <v>626</v>
      </c>
      <c r="C42" s="13"/>
      <c r="D42" s="8"/>
      <c r="E42" s="8">
        <v>222.989</v>
      </c>
      <c r="F42" s="8"/>
      <c r="G42" s="8"/>
      <c r="H42" s="8"/>
      <c r="I42" s="8"/>
      <c r="J42" s="8">
        <v>0</v>
      </c>
      <c r="K42" s="8">
        <v>163.646</v>
      </c>
      <c r="L42" s="8">
        <v>0</v>
      </c>
      <c r="M42" s="8">
        <v>59.343</v>
      </c>
      <c r="N42" s="8">
        <v>222.989</v>
      </c>
      <c r="O42" s="8"/>
      <c r="P42" s="152"/>
      <c r="Q42" s="152"/>
      <c r="R42" s="152"/>
      <c r="S42" s="153"/>
      <c r="T42" s="152"/>
      <c r="U42" s="8"/>
      <c r="V42" s="8"/>
      <c r="W42" s="8" t="s">
        <v>576</v>
      </c>
    </row>
    <row r="43" spans="1:23" s="1" customFormat="1" ht="15.75" customHeight="1">
      <c r="A43" s="14" t="s">
        <v>627</v>
      </c>
      <c r="B43" s="13" t="s">
        <v>628</v>
      </c>
      <c r="C43" s="13"/>
      <c r="D43" s="8"/>
      <c r="E43" s="8">
        <v>160.82</v>
      </c>
      <c r="F43" s="8"/>
      <c r="G43" s="8"/>
      <c r="H43" s="8"/>
      <c r="I43" s="8"/>
      <c r="J43" s="8">
        <v>0</v>
      </c>
      <c r="K43" s="8">
        <v>160.82</v>
      </c>
      <c r="L43" s="8"/>
      <c r="M43" s="8"/>
      <c r="N43" s="8">
        <v>160.82</v>
      </c>
      <c r="O43" s="8"/>
      <c r="P43" s="152"/>
      <c r="Q43" s="152"/>
      <c r="R43" s="152"/>
      <c r="S43" s="153"/>
      <c r="T43" s="152"/>
      <c r="U43" s="8"/>
      <c r="V43" s="8"/>
      <c r="W43" s="8" t="s">
        <v>576</v>
      </c>
    </row>
    <row r="44" spans="1:23" s="1" customFormat="1" ht="15.75" customHeight="1">
      <c r="A44" s="14" t="s">
        <v>629</v>
      </c>
      <c r="B44" s="13" t="s">
        <v>630</v>
      </c>
      <c r="C44" s="13"/>
      <c r="D44" s="8"/>
      <c r="E44" s="8">
        <v>23.432</v>
      </c>
      <c r="F44" s="8"/>
      <c r="G44" s="8"/>
      <c r="H44" s="8"/>
      <c r="I44" s="8"/>
      <c r="J44" s="8">
        <v>0</v>
      </c>
      <c r="K44" s="8">
        <v>23.432</v>
      </c>
      <c r="L44" s="8"/>
      <c r="M44" s="8"/>
      <c r="N44" s="8">
        <v>23.432</v>
      </c>
      <c r="O44" s="8"/>
      <c r="P44" s="152"/>
      <c r="Q44" s="152"/>
      <c r="R44" s="152"/>
      <c r="S44" s="153"/>
      <c r="T44" s="152"/>
      <c r="U44" s="8"/>
      <c r="V44" s="8"/>
      <c r="W44" s="8" t="s">
        <v>576</v>
      </c>
    </row>
    <row r="45" spans="1:23" s="1" customFormat="1" ht="31.5" customHeight="1">
      <c r="A45" s="14" t="s">
        <v>631</v>
      </c>
      <c r="B45" s="13" t="s">
        <v>632</v>
      </c>
      <c r="C45" s="13"/>
      <c r="D45" s="8"/>
      <c r="E45" s="8">
        <v>122.28</v>
      </c>
      <c r="F45" s="8"/>
      <c r="G45" s="8"/>
      <c r="H45" s="8"/>
      <c r="I45" s="8"/>
      <c r="J45" s="8">
        <v>0</v>
      </c>
      <c r="K45" s="8">
        <v>122.28</v>
      </c>
      <c r="L45" s="8"/>
      <c r="M45" s="8"/>
      <c r="N45" s="8">
        <v>122.28</v>
      </c>
      <c r="O45" s="8"/>
      <c r="P45" s="152"/>
      <c r="Q45" s="152"/>
      <c r="R45" s="152"/>
      <c r="S45" s="153"/>
      <c r="T45" s="152"/>
      <c r="U45" s="8"/>
      <c r="V45" s="8"/>
      <c r="W45" s="8" t="s">
        <v>576</v>
      </c>
    </row>
    <row r="46" spans="1:23" s="1" customFormat="1" ht="15.75" customHeight="1">
      <c r="A46" s="14" t="s">
        <v>633</v>
      </c>
      <c r="B46" s="13" t="s">
        <v>634</v>
      </c>
      <c r="C46" s="13"/>
      <c r="D46" s="8"/>
      <c r="E46" s="8">
        <v>109.604</v>
      </c>
      <c r="F46" s="8"/>
      <c r="G46" s="8"/>
      <c r="H46" s="8"/>
      <c r="I46" s="8"/>
      <c r="J46" s="8">
        <v>0</v>
      </c>
      <c r="K46" s="8">
        <v>109.604</v>
      </c>
      <c r="L46" s="8"/>
      <c r="M46" s="8"/>
      <c r="N46" s="8">
        <v>109.604</v>
      </c>
      <c r="O46" s="8"/>
      <c r="P46" s="152"/>
      <c r="Q46" s="152"/>
      <c r="R46" s="152"/>
      <c r="S46" s="153"/>
      <c r="T46" s="152"/>
      <c r="U46" s="8"/>
      <c r="V46" s="8"/>
      <c r="W46" s="8" t="s">
        <v>576</v>
      </c>
    </row>
    <row r="47" spans="1:23" s="1" customFormat="1" ht="31.5" customHeight="1">
      <c r="A47" s="14" t="s">
        <v>635</v>
      </c>
      <c r="B47" s="13" t="s">
        <v>636</v>
      </c>
      <c r="C47" s="13"/>
      <c r="D47" s="8"/>
      <c r="E47" s="8">
        <v>249.118</v>
      </c>
      <c r="F47" s="8"/>
      <c r="G47" s="8"/>
      <c r="H47" s="8"/>
      <c r="I47" s="8"/>
      <c r="J47" s="8">
        <v>0</v>
      </c>
      <c r="K47" s="8">
        <v>209.783</v>
      </c>
      <c r="L47" s="8">
        <v>0</v>
      </c>
      <c r="M47" s="8">
        <v>39.335</v>
      </c>
      <c r="N47" s="8">
        <v>249.118</v>
      </c>
      <c r="O47" s="8"/>
      <c r="P47" s="152"/>
      <c r="Q47" s="152"/>
      <c r="R47" s="152"/>
      <c r="S47" s="153"/>
      <c r="T47" s="152"/>
      <c r="U47" s="8"/>
      <c r="V47" s="8"/>
      <c r="W47" s="8" t="s">
        <v>579</v>
      </c>
    </row>
    <row r="48" spans="1:23" s="1" customFormat="1" ht="35.25" customHeight="1">
      <c r="A48" s="14" t="s">
        <v>637</v>
      </c>
      <c r="B48" s="13" t="s">
        <v>638</v>
      </c>
      <c r="C48" s="13"/>
      <c r="D48" s="8"/>
      <c r="E48" s="8">
        <v>119.04</v>
      </c>
      <c r="F48" s="8"/>
      <c r="G48" s="8"/>
      <c r="H48" s="8"/>
      <c r="I48" s="8"/>
      <c r="J48" s="8">
        <v>0</v>
      </c>
      <c r="K48" s="8">
        <v>119.04</v>
      </c>
      <c r="L48" s="8"/>
      <c r="M48" s="8"/>
      <c r="N48" s="8">
        <v>119.04</v>
      </c>
      <c r="O48" s="8"/>
      <c r="P48" s="152"/>
      <c r="Q48" s="152"/>
      <c r="R48" s="152"/>
      <c r="S48" s="153"/>
      <c r="T48" s="152"/>
      <c r="U48" s="8"/>
      <c r="V48" s="8"/>
      <c r="W48" s="8" t="s">
        <v>576</v>
      </c>
    </row>
    <row r="49" spans="1:23" s="1" customFormat="1" ht="31.5" customHeight="1">
      <c r="A49" s="14" t="s">
        <v>639</v>
      </c>
      <c r="B49" s="13" t="s">
        <v>640</v>
      </c>
      <c r="C49" s="13"/>
      <c r="D49" s="8"/>
      <c r="E49" s="8">
        <v>254.12</v>
      </c>
      <c r="F49" s="8"/>
      <c r="G49" s="8"/>
      <c r="H49" s="8"/>
      <c r="I49" s="8"/>
      <c r="J49" s="8">
        <v>0</v>
      </c>
      <c r="K49" s="8">
        <v>254.12</v>
      </c>
      <c r="L49" s="8"/>
      <c r="M49" s="8"/>
      <c r="N49" s="8">
        <v>254.12</v>
      </c>
      <c r="O49" s="8"/>
      <c r="P49" s="152"/>
      <c r="Q49" s="152"/>
      <c r="R49" s="152"/>
      <c r="S49" s="153"/>
      <c r="T49" s="152"/>
      <c r="U49" s="8"/>
      <c r="V49" s="8"/>
      <c r="W49" s="8" t="s">
        <v>576</v>
      </c>
    </row>
    <row r="50" spans="1:23" s="1" customFormat="1" ht="15.75" customHeight="1">
      <c r="A50" s="14" t="s">
        <v>641</v>
      </c>
      <c r="B50" s="13" t="s">
        <v>642</v>
      </c>
      <c r="C50" s="13"/>
      <c r="D50" s="8"/>
      <c r="E50" s="8">
        <v>100.84</v>
      </c>
      <c r="F50" s="8"/>
      <c r="G50" s="8"/>
      <c r="H50" s="8"/>
      <c r="I50" s="8"/>
      <c r="J50" s="8">
        <v>0</v>
      </c>
      <c r="K50" s="8">
        <v>100.84</v>
      </c>
      <c r="L50" s="8"/>
      <c r="M50" s="8"/>
      <c r="N50" s="8">
        <v>100.84</v>
      </c>
      <c r="O50" s="8"/>
      <c r="P50" s="152"/>
      <c r="Q50" s="152"/>
      <c r="R50" s="152"/>
      <c r="S50" s="153"/>
      <c r="T50" s="152"/>
      <c r="U50" s="8"/>
      <c r="V50" s="8"/>
      <c r="W50" s="8" t="s">
        <v>576</v>
      </c>
    </row>
    <row r="51" spans="1:23" s="1" customFormat="1" ht="33" customHeight="1">
      <c r="A51" s="14" t="s">
        <v>643</v>
      </c>
      <c r="B51" s="13" t="s">
        <v>644</v>
      </c>
      <c r="C51" s="13"/>
      <c r="D51" s="8"/>
      <c r="E51" s="8">
        <v>96.118</v>
      </c>
      <c r="F51" s="8"/>
      <c r="G51" s="8"/>
      <c r="H51" s="8"/>
      <c r="I51" s="8"/>
      <c r="J51" s="8">
        <v>0</v>
      </c>
      <c r="K51" s="8">
        <v>96.118</v>
      </c>
      <c r="L51" s="8"/>
      <c r="M51" s="8"/>
      <c r="N51" s="8">
        <v>96.118</v>
      </c>
      <c r="O51" s="8"/>
      <c r="P51" s="152"/>
      <c r="Q51" s="152"/>
      <c r="R51" s="152"/>
      <c r="S51" s="153"/>
      <c r="T51" s="152"/>
      <c r="U51" s="8"/>
      <c r="V51" s="8"/>
      <c r="W51" s="8" t="s">
        <v>576</v>
      </c>
    </row>
    <row r="52" spans="1:23" s="1" customFormat="1" ht="15.75" customHeight="1">
      <c r="A52" s="14" t="s">
        <v>645</v>
      </c>
      <c r="B52" s="13" t="s">
        <v>646</v>
      </c>
      <c r="C52" s="13"/>
      <c r="D52" s="8"/>
      <c r="E52" s="8">
        <v>30.21</v>
      </c>
      <c r="F52" s="8"/>
      <c r="G52" s="8"/>
      <c r="H52" s="8"/>
      <c r="I52" s="8"/>
      <c r="J52" s="8">
        <v>0</v>
      </c>
      <c r="K52" s="8">
        <v>30.21</v>
      </c>
      <c r="L52" s="8"/>
      <c r="M52" s="8"/>
      <c r="N52" s="8">
        <v>30.21</v>
      </c>
      <c r="O52" s="8"/>
      <c r="P52" s="152"/>
      <c r="Q52" s="152"/>
      <c r="R52" s="152"/>
      <c r="S52" s="153"/>
      <c r="T52" s="152"/>
      <c r="U52" s="8"/>
      <c r="V52" s="8"/>
      <c r="W52" s="8" t="s">
        <v>576</v>
      </c>
    </row>
    <row r="53" spans="1:23" s="1" customFormat="1" ht="31.5" customHeight="1">
      <c r="A53" s="14" t="s">
        <v>647</v>
      </c>
      <c r="B53" s="13" t="s">
        <v>648</v>
      </c>
      <c r="C53" s="13"/>
      <c r="D53" s="8"/>
      <c r="E53" s="8">
        <v>55.997</v>
      </c>
      <c r="F53" s="8"/>
      <c r="G53" s="8"/>
      <c r="H53" s="8"/>
      <c r="I53" s="8"/>
      <c r="J53" s="8">
        <v>0</v>
      </c>
      <c r="K53" s="8">
        <v>55.997</v>
      </c>
      <c r="L53" s="8"/>
      <c r="M53" s="8"/>
      <c r="N53" s="8">
        <v>55.997</v>
      </c>
      <c r="O53" s="8"/>
      <c r="P53" s="152"/>
      <c r="Q53" s="152"/>
      <c r="R53" s="152"/>
      <c r="S53" s="153"/>
      <c r="T53" s="152"/>
      <c r="U53" s="8"/>
      <c r="V53" s="8"/>
      <c r="W53" s="8" t="s">
        <v>576</v>
      </c>
    </row>
    <row r="54" spans="1:23" s="1" customFormat="1" ht="15.75" customHeight="1">
      <c r="A54" s="14" t="s">
        <v>649</v>
      </c>
      <c r="B54" s="13" t="s">
        <v>650</v>
      </c>
      <c r="C54" s="13"/>
      <c r="D54" s="8"/>
      <c r="E54" s="8">
        <v>32.964</v>
      </c>
      <c r="F54" s="8"/>
      <c r="G54" s="8"/>
      <c r="H54" s="8"/>
      <c r="I54" s="8"/>
      <c r="J54" s="8">
        <v>0</v>
      </c>
      <c r="K54" s="8">
        <v>32.964</v>
      </c>
      <c r="L54" s="8"/>
      <c r="M54" s="8"/>
      <c r="N54" s="8">
        <v>32.964</v>
      </c>
      <c r="O54" s="8"/>
      <c r="P54" s="152"/>
      <c r="Q54" s="152"/>
      <c r="R54" s="152"/>
      <c r="S54" s="153"/>
      <c r="T54" s="152"/>
      <c r="U54" s="8"/>
      <c r="V54" s="8"/>
      <c r="W54" s="8" t="s">
        <v>576</v>
      </c>
    </row>
    <row r="55" spans="1:23" s="1" customFormat="1" ht="15.75" customHeight="1">
      <c r="A55" s="14" t="s">
        <v>651</v>
      </c>
      <c r="B55" s="13" t="s">
        <v>652</v>
      </c>
      <c r="C55" s="13"/>
      <c r="D55" s="8"/>
      <c r="E55" s="8">
        <v>27.816</v>
      </c>
      <c r="F55" s="8"/>
      <c r="G55" s="8"/>
      <c r="H55" s="8"/>
      <c r="I55" s="8"/>
      <c r="J55" s="8">
        <v>0</v>
      </c>
      <c r="K55" s="8">
        <v>27.816</v>
      </c>
      <c r="L55" s="8"/>
      <c r="M55" s="8"/>
      <c r="N55" s="8">
        <v>27.816</v>
      </c>
      <c r="O55" s="8"/>
      <c r="P55" s="152"/>
      <c r="Q55" s="152"/>
      <c r="R55" s="152"/>
      <c r="S55" s="153"/>
      <c r="T55" s="152"/>
      <c r="U55" s="8"/>
      <c r="V55" s="8"/>
      <c r="W55" s="8" t="s">
        <v>576</v>
      </c>
    </row>
    <row r="56" spans="1:23" s="1" customFormat="1" ht="31.5" customHeight="1">
      <c r="A56" s="14" t="s">
        <v>653</v>
      </c>
      <c r="B56" s="13" t="s">
        <v>654</v>
      </c>
      <c r="C56" s="13"/>
      <c r="D56" s="8"/>
      <c r="E56" s="8">
        <v>89.17</v>
      </c>
      <c r="F56" s="8"/>
      <c r="G56" s="8"/>
      <c r="H56" s="8"/>
      <c r="I56" s="8"/>
      <c r="J56" s="8">
        <v>0</v>
      </c>
      <c r="K56" s="8">
        <v>89.17</v>
      </c>
      <c r="L56" s="8"/>
      <c r="M56" s="8"/>
      <c r="N56" s="8">
        <v>89.17</v>
      </c>
      <c r="O56" s="8"/>
      <c r="P56" s="152"/>
      <c r="Q56" s="152"/>
      <c r="R56" s="152"/>
      <c r="S56" s="153"/>
      <c r="T56" s="152"/>
      <c r="U56" s="8"/>
      <c r="V56" s="8"/>
      <c r="W56" s="8" t="s">
        <v>576</v>
      </c>
    </row>
    <row r="57" spans="1:23" s="1" customFormat="1" ht="15.75" customHeight="1">
      <c r="A57" s="14" t="s">
        <v>655</v>
      </c>
      <c r="B57" s="13" t="s">
        <v>656</v>
      </c>
      <c r="C57" s="13"/>
      <c r="D57" s="8"/>
      <c r="E57" s="8">
        <v>25.321</v>
      </c>
      <c r="F57" s="8"/>
      <c r="G57" s="8"/>
      <c r="H57" s="8"/>
      <c r="I57" s="8"/>
      <c r="J57" s="8"/>
      <c r="K57" s="8"/>
      <c r="L57" s="8">
        <v>0</v>
      </c>
      <c r="M57" s="8">
        <v>25.321</v>
      </c>
      <c r="N57" s="8">
        <v>25.321</v>
      </c>
      <c r="O57" s="8"/>
      <c r="P57" s="152"/>
      <c r="Q57" s="152"/>
      <c r="R57" s="152"/>
      <c r="S57" s="153"/>
      <c r="T57" s="152"/>
      <c r="U57" s="8"/>
      <c r="V57" s="8"/>
      <c r="W57" s="8" t="s">
        <v>576</v>
      </c>
    </row>
    <row r="58" spans="1:23" s="1" customFormat="1" ht="31.5" customHeight="1">
      <c r="A58" s="14" t="s">
        <v>657</v>
      </c>
      <c r="B58" s="13" t="s">
        <v>658</v>
      </c>
      <c r="C58" s="13"/>
      <c r="D58" s="8"/>
      <c r="E58" s="8">
        <v>74.705</v>
      </c>
      <c r="F58" s="8"/>
      <c r="G58" s="8"/>
      <c r="H58" s="8"/>
      <c r="I58" s="8"/>
      <c r="J58" s="8"/>
      <c r="K58" s="8"/>
      <c r="L58" s="8">
        <v>0</v>
      </c>
      <c r="M58" s="8">
        <v>74.705</v>
      </c>
      <c r="N58" s="8">
        <v>74.705</v>
      </c>
      <c r="O58" s="8"/>
      <c r="P58" s="152"/>
      <c r="Q58" s="152"/>
      <c r="R58" s="152"/>
      <c r="S58" s="153"/>
      <c r="T58" s="152"/>
      <c r="U58" s="8"/>
      <c r="V58" s="8"/>
      <c r="W58" s="8" t="s">
        <v>576</v>
      </c>
    </row>
    <row r="59" spans="1:23" s="1" customFormat="1" ht="31.5" customHeight="1">
      <c r="A59" s="14" t="s">
        <v>659</v>
      </c>
      <c r="B59" s="13" t="s">
        <v>660</v>
      </c>
      <c r="C59" s="13"/>
      <c r="D59" s="8"/>
      <c r="E59" s="8">
        <v>62.068</v>
      </c>
      <c r="F59" s="8"/>
      <c r="G59" s="8"/>
      <c r="H59" s="8"/>
      <c r="I59" s="8"/>
      <c r="J59" s="8"/>
      <c r="K59" s="8"/>
      <c r="L59" s="8">
        <v>0</v>
      </c>
      <c r="M59" s="8">
        <v>62.068</v>
      </c>
      <c r="N59" s="8">
        <v>62.068</v>
      </c>
      <c r="O59" s="8"/>
      <c r="P59" s="152"/>
      <c r="Q59" s="152"/>
      <c r="R59" s="152"/>
      <c r="S59" s="153"/>
      <c r="T59" s="152"/>
      <c r="U59" s="8"/>
      <c r="V59" s="8"/>
      <c r="W59" s="8" t="s">
        <v>576</v>
      </c>
    </row>
    <row r="60" spans="1:23" s="1" customFormat="1" ht="15.75" customHeight="1">
      <c r="A60" s="14" t="s">
        <v>661</v>
      </c>
      <c r="B60" s="13" t="s">
        <v>662</v>
      </c>
      <c r="C60" s="13"/>
      <c r="D60" s="8"/>
      <c r="E60" s="8">
        <v>20.985</v>
      </c>
      <c r="F60" s="8"/>
      <c r="G60" s="8"/>
      <c r="H60" s="8"/>
      <c r="I60" s="8"/>
      <c r="J60" s="8"/>
      <c r="K60" s="8"/>
      <c r="L60" s="8">
        <v>0</v>
      </c>
      <c r="M60" s="8">
        <v>20.985</v>
      </c>
      <c r="N60" s="8">
        <v>20.985</v>
      </c>
      <c r="O60" s="8"/>
      <c r="P60" s="152"/>
      <c r="Q60" s="152"/>
      <c r="R60" s="152"/>
      <c r="S60" s="153"/>
      <c r="T60" s="152"/>
      <c r="U60" s="8"/>
      <c r="V60" s="8"/>
      <c r="W60" s="8" t="s">
        <v>576</v>
      </c>
    </row>
    <row r="61" spans="1:23" s="1" customFormat="1" ht="15.75" customHeight="1">
      <c r="A61" s="14" t="s">
        <v>663</v>
      </c>
      <c r="B61" s="13" t="s">
        <v>664</v>
      </c>
      <c r="C61" s="13"/>
      <c r="D61" s="8"/>
      <c r="E61" s="8">
        <v>287.468</v>
      </c>
      <c r="F61" s="8"/>
      <c r="G61" s="8"/>
      <c r="H61" s="8"/>
      <c r="I61" s="8"/>
      <c r="J61" s="8"/>
      <c r="K61" s="8"/>
      <c r="L61" s="8">
        <v>0</v>
      </c>
      <c r="M61" s="8">
        <v>287.468</v>
      </c>
      <c r="N61" s="8">
        <v>287.468</v>
      </c>
      <c r="O61" s="8"/>
      <c r="P61" s="152"/>
      <c r="Q61" s="152"/>
      <c r="R61" s="152"/>
      <c r="S61" s="153"/>
      <c r="T61" s="152"/>
      <c r="U61" s="8"/>
      <c r="V61" s="8"/>
      <c r="W61" s="8" t="s">
        <v>576</v>
      </c>
    </row>
    <row r="62" spans="1:23" s="1" customFormat="1" ht="15.75" customHeight="1">
      <c r="A62" s="14" t="s">
        <v>665</v>
      </c>
      <c r="B62" s="13" t="s">
        <v>666</v>
      </c>
      <c r="C62" s="13"/>
      <c r="D62" s="8"/>
      <c r="E62" s="8">
        <v>10.822</v>
      </c>
      <c r="F62" s="8"/>
      <c r="G62" s="8"/>
      <c r="H62" s="8"/>
      <c r="I62" s="8"/>
      <c r="J62" s="8"/>
      <c r="K62" s="8"/>
      <c r="L62" s="8">
        <v>0</v>
      </c>
      <c r="M62" s="8">
        <v>10.822</v>
      </c>
      <c r="N62" s="8">
        <v>10.822</v>
      </c>
      <c r="O62" s="8"/>
      <c r="P62" s="152"/>
      <c r="Q62" s="152"/>
      <c r="R62" s="152"/>
      <c r="S62" s="153"/>
      <c r="T62" s="152"/>
      <c r="U62" s="8"/>
      <c r="V62" s="8"/>
      <c r="W62" s="8" t="s">
        <v>576</v>
      </c>
    </row>
    <row r="63" spans="1:23" s="1" customFormat="1" ht="15.75" customHeight="1">
      <c r="A63" s="14" t="s">
        <v>667</v>
      </c>
      <c r="B63" s="13" t="s">
        <v>668</v>
      </c>
      <c r="C63" s="13"/>
      <c r="D63" s="8"/>
      <c r="E63" s="8">
        <v>19.979</v>
      </c>
      <c r="F63" s="8"/>
      <c r="G63" s="8"/>
      <c r="H63" s="8"/>
      <c r="I63" s="8"/>
      <c r="J63" s="8"/>
      <c r="K63" s="8"/>
      <c r="L63" s="8">
        <v>0</v>
      </c>
      <c r="M63" s="8">
        <v>19.979</v>
      </c>
      <c r="N63" s="8">
        <v>19.979</v>
      </c>
      <c r="O63" s="8"/>
      <c r="P63" s="152"/>
      <c r="Q63" s="152"/>
      <c r="R63" s="152"/>
      <c r="S63" s="153"/>
      <c r="T63" s="152"/>
      <c r="U63" s="8"/>
      <c r="V63" s="8"/>
      <c r="W63" s="8" t="s">
        <v>576</v>
      </c>
    </row>
    <row r="64" spans="1:23" s="1" customFormat="1" ht="15.75" customHeight="1">
      <c r="A64" s="14" t="s">
        <v>669</v>
      </c>
      <c r="B64" s="13" t="s">
        <v>670</v>
      </c>
      <c r="C64" s="13"/>
      <c r="D64" s="8"/>
      <c r="E64" s="8">
        <v>11.521</v>
      </c>
      <c r="F64" s="8"/>
      <c r="G64" s="8"/>
      <c r="H64" s="8"/>
      <c r="I64" s="8"/>
      <c r="J64" s="8"/>
      <c r="K64" s="8"/>
      <c r="L64" s="8">
        <v>0</v>
      </c>
      <c r="M64" s="8">
        <v>11.521</v>
      </c>
      <c r="N64" s="8">
        <v>11.521</v>
      </c>
      <c r="O64" s="8"/>
      <c r="P64" s="152"/>
      <c r="Q64" s="152"/>
      <c r="R64" s="152"/>
      <c r="S64" s="153"/>
      <c r="T64" s="152"/>
      <c r="U64" s="8"/>
      <c r="V64" s="8"/>
      <c r="W64" s="8" t="s">
        <v>576</v>
      </c>
    </row>
    <row r="65" spans="1:23" s="1" customFormat="1" ht="31.5" customHeight="1">
      <c r="A65" s="14" t="s">
        <v>671</v>
      </c>
      <c r="B65" s="13" t="s">
        <v>672</v>
      </c>
      <c r="C65" s="13"/>
      <c r="D65" s="8"/>
      <c r="E65" s="8">
        <v>8.421</v>
      </c>
      <c r="F65" s="8"/>
      <c r="G65" s="8"/>
      <c r="H65" s="8"/>
      <c r="I65" s="8"/>
      <c r="J65" s="8"/>
      <c r="K65" s="8"/>
      <c r="L65" s="8">
        <v>0</v>
      </c>
      <c r="M65" s="8">
        <v>8.421</v>
      </c>
      <c r="N65" s="8">
        <v>8.421</v>
      </c>
      <c r="O65" s="8"/>
      <c r="P65" s="152"/>
      <c r="Q65" s="152"/>
      <c r="R65" s="152"/>
      <c r="S65" s="153"/>
      <c r="T65" s="152"/>
      <c r="U65" s="8"/>
      <c r="V65" s="8"/>
      <c r="W65" s="8" t="s">
        <v>576</v>
      </c>
    </row>
    <row r="66" spans="1:23" s="1" customFormat="1" ht="31.5" customHeight="1">
      <c r="A66" s="14" t="s">
        <v>673</v>
      </c>
      <c r="B66" s="13" t="s">
        <v>674</v>
      </c>
      <c r="C66" s="13"/>
      <c r="D66" s="8"/>
      <c r="E66" s="8">
        <v>14.52</v>
      </c>
      <c r="F66" s="8"/>
      <c r="G66" s="8"/>
      <c r="H66" s="8"/>
      <c r="I66" s="8"/>
      <c r="J66" s="8"/>
      <c r="K66" s="8"/>
      <c r="L66" s="8">
        <v>0</v>
      </c>
      <c r="M66" s="8">
        <v>14.52</v>
      </c>
      <c r="N66" s="8">
        <v>14.52</v>
      </c>
      <c r="O66" s="8"/>
      <c r="P66" s="152"/>
      <c r="Q66" s="152"/>
      <c r="R66" s="152"/>
      <c r="S66" s="153"/>
      <c r="T66" s="152"/>
      <c r="U66" s="8"/>
      <c r="V66" s="8"/>
      <c r="W66" s="8" t="s">
        <v>576</v>
      </c>
    </row>
    <row r="67" spans="1:23" s="1" customFormat="1" ht="15.75" customHeight="1">
      <c r="A67" s="14" t="s">
        <v>675</v>
      </c>
      <c r="B67" s="13" t="s">
        <v>676</v>
      </c>
      <c r="C67" s="13"/>
      <c r="D67" s="8"/>
      <c r="E67" s="8">
        <v>22.8</v>
      </c>
      <c r="F67" s="8"/>
      <c r="G67" s="8"/>
      <c r="H67" s="8"/>
      <c r="I67" s="8"/>
      <c r="J67" s="8"/>
      <c r="K67" s="8"/>
      <c r="L67" s="8">
        <v>0</v>
      </c>
      <c r="M67" s="8">
        <v>22.8</v>
      </c>
      <c r="N67" s="8">
        <v>22.8</v>
      </c>
      <c r="O67" s="8"/>
      <c r="P67" s="152"/>
      <c r="Q67" s="152"/>
      <c r="R67" s="152"/>
      <c r="S67" s="153"/>
      <c r="T67" s="152"/>
      <c r="U67" s="8"/>
      <c r="V67" s="8"/>
      <c r="W67" s="8" t="s">
        <v>576</v>
      </c>
    </row>
    <row r="68" spans="1:23" s="1" customFormat="1" ht="31.5" customHeight="1">
      <c r="A68" s="14" t="s">
        <v>677</v>
      </c>
      <c r="B68" s="13" t="s">
        <v>678</v>
      </c>
      <c r="C68" s="13"/>
      <c r="D68" s="8"/>
      <c r="E68" s="8">
        <v>47.102</v>
      </c>
      <c r="F68" s="8"/>
      <c r="G68" s="8"/>
      <c r="H68" s="8"/>
      <c r="I68" s="8"/>
      <c r="J68" s="8"/>
      <c r="K68" s="8"/>
      <c r="L68" s="8">
        <v>0</v>
      </c>
      <c r="M68" s="8">
        <v>47.102</v>
      </c>
      <c r="N68" s="8">
        <v>47.102</v>
      </c>
      <c r="O68" s="8"/>
      <c r="P68" s="152"/>
      <c r="Q68" s="152"/>
      <c r="R68" s="152"/>
      <c r="S68" s="153"/>
      <c r="T68" s="152"/>
      <c r="U68" s="8"/>
      <c r="V68" s="8"/>
      <c r="W68" s="8" t="s">
        <v>579</v>
      </c>
    </row>
    <row r="69" spans="1:23" s="1" customFormat="1" ht="15.75" customHeight="1">
      <c r="A69" s="14" t="s">
        <v>679</v>
      </c>
      <c r="B69" s="13" t="s">
        <v>680</v>
      </c>
      <c r="C69" s="13"/>
      <c r="D69" s="8"/>
      <c r="E69" s="8">
        <v>12.728</v>
      </c>
      <c r="F69" s="8"/>
      <c r="G69" s="8"/>
      <c r="H69" s="8"/>
      <c r="I69" s="8"/>
      <c r="J69" s="8"/>
      <c r="K69" s="8"/>
      <c r="L69" s="8">
        <v>0</v>
      </c>
      <c r="M69" s="8">
        <v>12.728</v>
      </c>
      <c r="N69" s="8">
        <v>12.728</v>
      </c>
      <c r="O69" s="8"/>
      <c r="P69" s="152"/>
      <c r="Q69" s="152"/>
      <c r="R69" s="152"/>
      <c r="S69" s="153"/>
      <c r="T69" s="152"/>
      <c r="U69" s="8"/>
      <c r="V69" s="8"/>
      <c r="W69" s="8" t="s">
        <v>576</v>
      </c>
    </row>
    <row r="70" spans="1:23" s="1" customFormat="1" ht="15.75" customHeight="1">
      <c r="A70" s="14" t="s">
        <v>681</v>
      </c>
      <c r="B70" s="13" t="s">
        <v>682</v>
      </c>
      <c r="C70" s="13"/>
      <c r="D70" s="8"/>
      <c r="E70" s="8">
        <v>31.276</v>
      </c>
      <c r="F70" s="8"/>
      <c r="G70" s="8"/>
      <c r="H70" s="8"/>
      <c r="I70" s="8"/>
      <c r="J70" s="8"/>
      <c r="K70" s="8"/>
      <c r="L70" s="8">
        <v>0</v>
      </c>
      <c r="M70" s="8">
        <v>31.276</v>
      </c>
      <c r="N70" s="8">
        <v>31.276</v>
      </c>
      <c r="O70" s="8"/>
      <c r="P70" s="152"/>
      <c r="Q70" s="152"/>
      <c r="R70" s="152"/>
      <c r="S70" s="153"/>
      <c r="T70" s="152"/>
      <c r="U70" s="8"/>
      <c r="V70" s="8"/>
      <c r="W70" s="8" t="s">
        <v>576</v>
      </c>
    </row>
    <row r="71" spans="1:23" s="1" customFormat="1" ht="31.5" customHeight="1">
      <c r="A71" s="14" t="s">
        <v>683</v>
      </c>
      <c r="B71" s="13" t="s">
        <v>684</v>
      </c>
      <c r="C71" s="13"/>
      <c r="D71" s="8"/>
      <c r="E71" s="8">
        <v>16.04</v>
      </c>
      <c r="F71" s="8"/>
      <c r="G71" s="8"/>
      <c r="H71" s="8"/>
      <c r="I71" s="8"/>
      <c r="J71" s="8"/>
      <c r="K71" s="8"/>
      <c r="L71" s="8">
        <v>0</v>
      </c>
      <c r="M71" s="8">
        <v>16.04</v>
      </c>
      <c r="N71" s="8">
        <v>16.04</v>
      </c>
      <c r="O71" s="8"/>
      <c r="P71" s="152"/>
      <c r="Q71" s="152"/>
      <c r="R71" s="152"/>
      <c r="S71" s="153"/>
      <c r="T71" s="152"/>
      <c r="U71" s="8"/>
      <c r="V71" s="8"/>
      <c r="W71" s="8" t="s">
        <v>576</v>
      </c>
    </row>
    <row r="72" spans="1:23" s="1" customFormat="1" ht="31.5" customHeight="1">
      <c r="A72" s="14" t="s">
        <v>685</v>
      </c>
      <c r="B72" s="13" t="s">
        <v>686</v>
      </c>
      <c r="C72" s="13"/>
      <c r="D72" s="8"/>
      <c r="E72" s="8">
        <v>28.921</v>
      </c>
      <c r="F72" s="8"/>
      <c r="G72" s="8"/>
      <c r="H72" s="8"/>
      <c r="I72" s="8"/>
      <c r="J72" s="8"/>
      <c r="K72" s="8"/>
      <c r="L72" s="8">
        <v>0</v>
      </c>
      <c r="M72" s="8">
        <v>28.921</v>
      </c>
      <c r="N72" s="8">
        <v>28.921</v>
      </c>
      <c r="O72" s="8"/>
      <c r="P72" s="152"/>
      <c r="Q72" s="152"/>
      <c r="R72" s="152"/>
      <c r="S72" s="153"/>
      <c r="T72" s="152"/>
      <c r="U72" s="8"/>
      <c r="V72" s="8"/>
      <c r="W72" s="8" t="s">
        <v>576</v>
      </c>
    </row>
    <row r="73" spans="1:23" s="1" customFormat="1" ht="15.75" customHeight="1">
      <c r="A73" s="14" t="s">
        <v>687</v>
      </c>
      <c r="B73" s="13" t="s">
        <v>688</v>
      </c>
      <c r="C73" s="13"/>
      <c r="D73" s="8"/>
      <c r="E73" s="8">
        <v>343.868</v>
      </c>
      <c r="F73" s="8"/>
      <c r="G73" s="8"/>
      <c r="H73" s="8"/>
      <c r="I73" s="8"/>
      <c r="J73" s="8"/>
      <c r="K73" s="8"/>
      <c r="L73" s="8">
        <v>0</v>
      </c>
      <c r="M73" s="8">
        <v>343.868</v>
      </c>
      <c r="N73" s="8">
        <v>343.868</v>
      </c>
      <c r="O73" s="8"/>
      <c r="P73" s="152"/>
      <c r="Q73" s="152"/>
      <c r="R73" s="152"/>
      <c r="S73" s="153"/>
      <c r="T73" s="152"/>
      <c r="U73" s="8"/>
      <c r="V73" s="8"/>
      <c r="W73" s="8" t="s">
        <v>576</v>
      </c>
    </row>
    <row r="74" spans="1:23" s="1" customFormat="1" ht="31.5" customHeight="1">
      <c r="A74" s="14" t="s">
        <v>689</v>
      </c>
      <c r="B74" s="13" t="s">
        <v>690</v>
      </c>
      <c r="C74" s="13"/>
      <c r="D74" s="8"/>
      <c r="E74" s="8">
        <v>405.251</v>
      </c>
      <c r="F74" s="8"/>
      <c r="G74" s="8"/>
      <c r="H74" s="8"/>
      <c r="I74" s="8"/>
      <c r="J74" s="8"/>
      <c r="K74" s="8"/>
      <c r="L74" s="8">
        <v>0</v>
      </c>
      <c r="M74" s="8">
        <v>405.251</v>
      </c>
      <c r="N74" s="8">
        <v>405.251</v>
      </c>
      <c r="O74" s="8"/>
      <c r="P74" s="152"/>
      <c r="Q74" s="152"/>
      <c r="R74" s="152"/>
      <c r="S74" s="153"/>
      <c r="T74" s="152"/>
      <c r="U74" s="8"/>
      <c r="V74" s="8"/>
      <c r="W74" s="8" t="s">
        <v>576</v>
      </c>
    </row>
    <row r="75" spans="1:23" s="1" customFormat="1" ht="15.75" customHeight="1">
      <c r="A75" s="14" t="s">
        <v>691</v>
      </c>
      <c r="B75" s="13" t="s">
        <v>692</v>
      </c>
      <c r="C75" s="13"/>
      <c r="D75" s="8"/>
      <c r="E75" s="8">
        <v>200.765</v>
      </c>
      <c r="F75" s="8"/>
      <c r="G75" s="8"/>
      <c r="H75" s="8"/>
      <c r="I75" s="8"/>
      <c r="J75" s="8"/>
      <c r="K75" s="8"/>
      <c r="L75" s="8">
        <v>0</v>
      </c>
      <c r="M75" s="8">
        <v>200.765</v>
      </c>
      <c r="N75" s="8">
        <v>200.765</v>
      </c>
      <c r="O75" s="8"/>
      <c r="P75" s="152"/>
      <c r="Q75" s="152"/>
      <c r="R75" s="152"/>
      <c r="S75" s="153"/>
      <c r="T75" s="152"/>
      <c r="U75" s="8"/>
      <c r="V75" s="8"/>
      <c r="W75" s="8" t="s">
        <v>576</v>
      </c>
    </row>
    <row r="76" spans="1:23" s="1" customFormat="1" ht="31.5" customHeight="1">
      <c r="A76" s="14" t="s">
        <v>693</v>
      </c>
      <c r="B76" s="13" t="s">
        <v>694</v>
      </c>
      <c r="C76" s="13"/>
      <c r="D76" s="8"/>
      <c r="E76" s="8">
        <v>134.677</v>
      </c>
      <c r="F76" s="8"/>
      <c r="G76" s="8"/>
      <c r="H76" s="8"/>
      <c r="I76" s="8"/>
      <c r="J76" s="8"/>
      <c r="K76" s="8"/>
      <c r="L76" s="8">
        <v>0</v>
      </c>
      <c r="M76" s="8">
        <v>134.677</v>
      </c>
      <c r="N76" s="8">
        <v>134.677</v>
      </c>
      <c r="O76" s="8"/>
      <c r="P76" s="152"/>
      <c r="Q76" s="152"/>
      <c r="R76" s="152"/>
      <c r="S76" s="153"/>
      <c r="T76" s="152"/>
      <c r="U76" s="8"/>
      <c r="V76" s="8"/>
      <c r="W76" s="8" t="s">
        <v>576</v>
      </c>
    </row>
    <row r="77" spans="1:23" s="1" customFormat="1" ht="31.5" customHeight="1">
      <c r="A77" s="14" t="s">
        <v>695</v>
      </c>
      <c r="B77" s="13" t="s">
        <v>696</v>
      </c>
      <c r="C77" s="13"/>
      <c r="D77" s="8"/>
      <c r="E77" s="8">
        <v>41.073</v>
      </c>
      <c r="F77" s="8"/>
      <c r="G77" s="8"/>
      <c r="H77" s="8"/>
      <c r="I77" s="8"/>
      <c r="J77" s="8"/>
      <c r="K77" s="8"/>
      <c r="L77" s="8">
        <v>0</v>
      </c>
      <c r="M77" s="8">
        <v>41.073</v>
      </c>
      <c r="N77" s="8">
        <v>41.073</v>
      </c>
      <c r="O77" s="8"/>
      <c r="P77" s="152"/>
      <c r="Q77" s="152"/>
      <c r="R77" s="152"/>
      <c r="S77" s="153"/>
      <c r="T77" s="152"/>
      <c r="U77" s="8"/>
      <c r="V77" s="8"/>
      <c r="W77" s="8" t="s">
        <v>576</v>
      </c>
    </row>
    <row r="78" spans="1:23" s="1" customFormat="1" ht="15.75" customHeight="1">
      <c r="A78" s="14" t="s">
        <v>697</v>
      </c>
      <c r="B78" s="13" t="s">
        <v>698</v>
      </c>
      <c r="C78" s="13"/>
      <c r="D78" s="8"/>
      <c r="E78" s="8">
        <v>49.159</v>
      </c>
      <c r="F78" s="8"/>
      <c r="G78" s="8"/>
      <c r="H78" s="8"/>
      <c r="I78" s="8"/>
      <c r="J78" s="8"/>
      <c r="K78" s="8"/>
      <c r="L78" s="8">
        <v>0</v>
      </c>
      <c r="M78" s="8">
        <v>49.159</v>
      </c>
      <c r="N78" s="8">
        <v>49.159</v>
      </c>
      <c r="O78" s="8"/>
      <c r="P78" s="152"/>
      <c r="Q78" s="152"/>
      <c r="R78" s="152"/>
      <c r="S78" s="153"/>
      <c r="T78" s="152"/>
      <c r="U78" s="8"/>
      <c r="V78" s="8"/>
      <c r="W78" s="8" t="s">
        <v>576</v>
      </c>
    </row>
    <row r="79" spans="1:23" s="1" customFormat="1" ht="15.75" customHeight="1">
      <c r="A79" s="14" t="s">
        <v>699</v>
      </c>
      <c r="B79" s="13" t="s">
        <v>700</v>
      </c>
      <c r="C79" s="13"/>
      <c r="D79" s="8"/>
      <c r="E79" s="8">
        <v>39.507</v>
      </c>
      <c r="F79" s="8"/>
      <c r="G79" s="8"/>
      <c r="H79" s="8"/>
      <c r="I79" s="8"/>
      <c r="J79" s="8"/>
      <c r="K79" s="8"/>
      <c r="L79" s="8">
        <v>0</v>
      </c>
      <c r="M79" s="8">
        <v>39.507</v>
      </c>
      <c r="N79" s="8">
        <v>39.507</v>
      </c>
      <c r="O79" s="8"/>
      <c r="P79" s="152"/>
      <c r="Q79" s="152"/>
      <c r="R79" s="152"/>
      <c r="S79" s="153"/>
      <c r="T79" s="152"/>
      <c r="U79" s="8"/>
      <c r="V79" s="8"/>
      <c r="W79" s="8" t="s">
        <v>576</v>
      </c>
    </row>
    <row r="80" spans="1:23" s="1" customFormat="1" ht="15.75" customHeight="1">
      <c r="A80" s="14" t="s">
        <v>701</v>
      </c>
      <c r="B80" s="13" t="s">
        <v>702</v>
      </c>
      <c r="C80" s="13"/>
      <c r="D80" s="8"/>
      <c r="E80" s="8">
        <v>388.489</v>
      </c>
      <c r="F80" s="8"/>
      <c r="G80" s="8"/>
      <c r="H80" s="8"/>
      <c r="I80" s="8"/>
      <c r="J80" s="8"/>
      <c r="K80" s="8"/>
      <c r="L80" s="8">
        <v>0</v>
      </c>
      <c r="M80" s="8">
        <v>388.489</v>
      </c>
      <c r="N80" s="8">
        <v>388.489</v>
      </c>
      <c r="O80" s="8"/>
      <c r="P80" s="152"/>
      <c r="Q80" s="152"/>
      <c r="R80" s="152"/>
      <c r="S80" s="153"/>
      <c r="T80" s="152"/>
      <c r="U80" s="8"/>
      <c r="V80" s="8"/>
      <c r="W80" s="8" t="s">
        <v>576</v>
      </c>
    </row>
    <row r="81" spans="1:96" s="162" customFormat="1" ht="63" customHeight="1">
      <c r="A81" s="145" t="s">
        <v>33</v>
      </c>
      <c r="B81" s="156" t="s">
        <v>34</v>
      </c>
      <c r="C81" s="157"/>
      <c r="D81" s="158">
        <f aca="true" t="shared" si="3" ref="D81:D92">F81+H81+J81+L81</f>
        <v>2396</v>
      </c>
      <c r="E81" s="147">
        <f aca="true" t="shared" si="4" ref="E81:E92">G81+I81+K81+M81</f>
        <v>2564.3630000000003</v>
      </c>
      <c r="F81" s="146">
        <f aca="true" t="shared" si="5" ref="F81:K81">F82</f>
        <v>0</v>
      </c>
      <c r="G81" s="146">
        <f t="shared" si="5"/>
        <v>0</v>
      </c>
      <c r="H81" s="146">
        <f t="shared" si="5"/>
        <v>532</v>
      </c>
      <c r="I81" s="147">
        <f t="shared" si="5"/>
        <v>530.159</v>
      </c>
      <c r="J81" s="146">
        <f t="shared" si="5"/>
        <v>1332</v>
      </c>
      <c r="K81" s="147">
        <f t="shared" si="5"/>
        <v>1444.989</v>
      </c>
      <c r="L81" s="146">
        <f>L90</f>
        <v>532</v>
      </c>
      <c r="M81" s="146">
        <f>M90</f>
        <v>589.215</v>
      </c>
      <c r="N81" s="147">
        <f>N82+N90</f>
        <v>2564.3630000000003</v>
      </c>
      <c r="O81" s="147"/>
      <c r="P81" s="159"/>
      <c r="Q81" s="159"/>
      <c r="R81" s="146">
        <f>R82</f>
        <v>532</v>
      </c>
      <c r="S81" s="147">
        <f>S82</f>
        <v>418.837</v>
      </c>
      <c r="T81" s="146">
        <f>T82</f>
        <v>266</v>
      </c>
      <c r="U81" s="147">
        <f>U82</f>
        <v>267.667</v>
      </c>
      <c r="V81" s="160"/>
      <c r="W81" s="160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  <c r="BA81" s="161"/>
      <c r="BB81" s="161"/>
      <c r="BC81" s="161"/>
      <c r="BD81" s="161"/>
      <c r="BE81" s="161"/>
      <c r="BF81" s="161"/>
      <c r="BG81" s="161"/>
      <c r="BH81" s="161"/>
      <c r="BI81" s="161"/>
      <c r="BJ81" s="161"/>
      <c r="BK81" s="161"/>
      <c r="BL81" s="161"/>
      <c r="BM81" s="161"/>
      <c r="BN81" s="161"/>
      <c r="BO81" s="161"/>
      <c r="BP81" s="161"/>
      <c r="BQ81" s="161"/>
      <c r="BR81" s="161"/>
      <c r="BS81" s="161"/>
      <c r="BT81" s="161"/>
      <c r="BU81" s="161"/>
      <c r="BV81" s="161"/>
      <c r="BW81" s="161"/>
      <c r="BX81" s="161"/>
      <c r="BY81" s="161"/>
      <c r="BZ81" s="161"/>
      <c r="CA81" s="161"/>
      <c r="CB81" s="161"/>
      <c r="CC81" s="161"/>
      <c r="CD81" s="161"/>
      <c r="CE81" s="161"/>
      <c r="CF81" s="161"/>
      <c r="CG81" s="161"/>
      <c r="CH81" s="161"/>
      <c r="CI81" s="161"/>
      <c r="CJ81" s="161"/>
      <c r="CK81" s="161"/>
      <c r="CL81" s="161"/>
      <c r="CM81" s="161"/>
      <c r="CN81" s="161"/>
      <c r="CO81" s="161"/>
      <c r="CP81" s="161"/>
      <c r="CQ81" s="161"/>
      <c r="CR81" s="161"/>
    </row>
    <row r="82" spans="1:96" s="20" customFormat="1" ht="23.25" customHeight="1">
      <c r="A82" s="11"/>
      <c r="B82" s="17" t="s">
        <v>35</v>
      </c>
      <c r="C82" s="3"/>
      <c r="D82" s="163">
        <f t="shared" si="3"/>
        <v>1864</v>
      </c>
      <c r="E82" s="24">
        <f t="shared" si="4"/>
        <v>1975.1480000000001</v>
      </c>
      <c r="F82" s="3">
        <f>F83+F84+F85+F86+F87+F88+F89</f>
        <v>0</v>
      </c>
      <c r="G82" s="3">
        <f>G83+G84+G85+G86+G87+G88+G89</f>
        <v>0</v>
      </c>
      <c r="H82" s="3">
        <f>H83</f>
        <v>532</v>
      </c>
      <c r="I82" s="24">
        <f>I83+I84+I85+I86+I87+I88+I89</f>
        <v>530.159</v>
      </c>
      <c r="J82" s="163">
        <f>J83+J84+J85+J86+J87+J88+J89</f>
        <v>1332</v>
      </c>
      <c r="K82" s="24">
        <f>K83+K84+K85+K86+K87+K88+K89</f>
        <v>1444.989</v>
      </c>
      <c r="L82" s="3"/>
      <c r="M82" s="164"/>
      <c r="N82" s="24">
        <f>N83+N84+N85+N86+N87+N88+N89</f>
        <v>1975.1480000000001</v>
      </c>
      <c r="O82" s="24"/>
      <c r="P82" s="165"/>
      <c r="Q82" s="165"/>
      <c r="R82" s="3">
        <f>R83</f>
        <v>532</v>
      </c>
      <c r="S82" s="24">
        <f>S83+S84+S85+S86+S87+S88+S89</f>
        <v>418.837</v>
      </c>
      <c r="T82" s="163">
        <f>T83+T84+T85+T86+T87+T88+T89</f>
        <v>266</v>
      </c>
      <c r="U82" s="24">
        <f>U83+U84+U85+U86+U87+U88+U89</f>
        <v>267.667</v>
      </c>
      <c r="V82" s="19"/>
      <c r="W82" s="19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  <c r="BI82" s="166"/>
      <c r="BJ82" s="166"/>
      <c r="BK82" s="166"/>
      <c r="BL82" s="166"/>
      <c r="BM82" s="166"/>
      <c r="BN82" s="166"/>
      <c r="BO82" s="166"/>
      <c r="BP82" s="166"/>
      <c r="BQ82" s="166"/>
      <c r="BR82" s="166"/>
      <c r="BS82" s="166"/>
      <c r="BT82" s="166"/>
      <c r="BU82" s="166"/>
      <c r="BV82" s="166"/>
      <c r="BW82" s="166"/>
      <c r="BX82" s="166"/>
      <c r="BY82" s="166"/>
      <c r="BZ82" s="166"/>
      <c r="CA82" s="166"/>
      <c r="CB82" s="166"/>
      <c r="CC82" s="166"/>
      <c r="CD82" s="166"/>
      <c r="CE82" s="166"/>
      <c r="CF82" s="166"/>
      <c r="CG82" s="166"/>
      <c r="CH82" s="166"/>
      <c r="CI82" s="166"/>
      <c r="CJ82" s="166"/>
      <c r="CK82" s="166"/>
      <c r="CL82" s="166"/>
      <c r="CM82" s="166"/>
      <c r="CN82" s="166"/>
      <c r="CO82" s="166"/>
      <c r="CP82" s="166"/>
      <c r="CQ82" s="166"/>
      <c r="CR82" s="166"/>
    </row>
    <row r="83" spans="1:23" ht="24" customHeight="1">
      <c r="A83" s="11"/>
      <c r="B83" s="13" t="s">
        <v>703</v>
      </c>
      <c r="C83" s="8"/>
      <c r="D83" s="8">
        <f t="shared" si="3"/>
        <v>532</v>
      </c>
      <c r="E83" s="23">
        <f t="shared" si="4"/>
        <v>530.159</v>
      </c>
      <c r="F83" s="8">
        <v>0</v>
      </c>
      <c r="G83" s="8">
        <v>0</v>
      </c>
      <c r="H83" s="8">
        <v>532</v>
      </c>
      <c r="I83" s="23">
        <v>530.159</v>
      </c>
      <c r="J83" s="8"/>
      <c r="K83" s="8"/>
      <c r="L83" s="8"/>
      <c r="M83" s="141"/>
      <c r="N83" s="23">
        <f>I83</f>
        <v>530.159</v>
      </c>
      <c r="O83" s="23"/>
      <c r="P83" s="152"/>
      <c r="Q83" s="152"/>
      <c r="R83" s="8">
        <v>532</v>
      </c>
      <c r="S83" s="23">
        <v>530.159</v>
      </c>
      <c r="T83" s="8"/>
      <c r="U83" s="8"/>
      <c r="V83" s="10"/>
      <c r="W83" s="8" t="s">
        <v>704</v>
      </c>
    </row>
    <row r="84" spans="1:23" ht="30.75" customHeight="1">
      <c r="A84" s="11"/>
      <c r="B84" s="13" t="s">
        <v>39</v>
      </c>
      <c r="C84" s="8"/>
      <c r="D84" s="8">
        <f t="shared" si="3"/>
        <v>266</v>
      </c>
      <c r="E84" s="23">
        <f t="shared" si="4"/>
        <v>267.667</v>
      </c>
      <c r="F84" s="8"/>
      <c r="G84" s="8"/>
      <c r="H84" s="8"/>
      <c r="I84" s="23"/>
      <c r="J84" s="110">
        <v>266</v>
      </c>
      <c r="K84" s="167">
        <v>267.667</v>
      </c>
      <c r="L84" s="8"/>
      <c r="M84" s="141"/>
      <c r="N84" s="167">
        <v>267.667</v>
      </c>
      <c r="O84" s="167"/>
      <c r="P84" s="152"/>
      <c r="Q84" s="152"/>
      <c r="R84" s="8"/>
      <c r="S84" s="23"/>
      <c r="T84" s="110">
        <v>266</v>
      </c>
      <c r="U84" s="167">
        <v>267.667</v>
      </c>
      <c r="V84" s="10"/>
      <c r="W84" s="5" t="s">
        <v>705</v>
      </c>
    </row>
    <row r="85" spans="1:23" ht="23.25" customHeight="1">
      <c r="A85" s="11"/>
      <c r="B85" s="13" t="s">
        <v>41</v>
      </c>
      <c r="C85" s="8"/>
      <c r="D85" s="8">
        <f t="shared" si="3"/>
        <v>532</v>
      </c>
      <c r="E85" s="23">
        <f t="shared" si="4"/>
        <v>569.8520000000001</v>
      </c>
      <c r="F85" s="8"/>
      <c r="G85" s="8"/>
      <c r="H85" s="8"/>
      <c r="I85" s="23"/>
      <c r="J85" s="110">
        <v>532</v>
      </c>
      <c r="K85" s="167">
        <f>533.638+17.965+18.249</f>
        <v>569.8520000000001</v>
      </c>
      <c r="L85" s="8"/>
      <c r="M85" s="141"/>
      <c r="N85" s="167">
        <f>533.638+17.965+18.249</f>
        <v>569.8520000000001</v>
      </c>
      <c r="O85" s="167"/>
      <c r="P85" s="152"/>
      <c r="Q85" s="152"/>
      <c r="R85" s="152"/>
      <c r="S85" s="153">
        <f>D85-E85</f>
        <v>-37.85200000000009</v>
      </c>
      <c r="T85" s="152"/>
      <c r="U85" s="10"/>
      <c r="V85" s="10"/>
      <c r="W85" s="5" t="s">
        <v>705</v>
      </c>
    </row>
    <row r="86" spans="1:23" ht="23.25" customHeight="1">
      <c r="A86" s="11"/>
      <c r="B86" s="13" t="s">
        <v>42</v>
      </c>
      <c r="C86" s="8"/>
      <c r="D86" s="8">
        <f t="shared" si="3"/>
        <v>133.5</v>
      </c>
      <c r="E86" s="23">
        <f t="shared" si="4"/>
        <v>151.409</v>
      </c>
      <c r="F86" s="8"/>
      <c r="G86" s="8"/>
      <c r="H86" s="8"/>
      <c r="I86" s="23"/>
      <c r="J86" s="110">
        <v>133.5</v>
      </c>
      <c r="K86" s="167">
        <f>142.325+9.084</f>
        <v>151.409</v>
      </c>
      <c r="L86" s="8"/>
      <c r="M86" s="141"/>
      <c r="N86" s="167">
        <f>142.325+9.084</f>
        <v>151.409</v>
      </c>
      <c r="O86" s="167"/>
      <c r="P86" s="152"/>
      <c r="Q86" s="152"/>
      <c r="R86" s="152"/>
      <c r="S86" s="153">
        <f>D86-E86</f>
        <v>-17.908999999999992</v>
      </c>
      <c r="T86" s="152"/>
      <c r="U86" s="10"/>
      <c r="V86" s="10"/>
      <c r="W86" s="5" t="s">
        <v>705</v>
      </c>
    </row>
    <row r="87" spans="1:23" ht="23.25" customHeight="1">
      <c r="A87" s="11"/>
      <c r="B87" s="13" t="s">
        <v>706</v>
      </c>
      <c r="C87" s="8"/>
      <c r="D87" s="8">
        <f t="shared" si="3"/>
        <v>133.5</v>
      </c>
      <c r="E87" s="23">
        <f t="shared" si="4"/>
        <v>151.85399999999998</v>
      </c>
      <c r="F87" s="8"/>
      <c r="G87" s="8"/>
      <c r="H87" s="8"/>
      <c r="I87" s="23"/>
      <c r="J87" s="110">
        <v>133.5</v>
      </c>
      <c r="K87" s="167">
        <f>142.325+9.529</f>
        <v>151.85399999999998</v>
      </c>
      <c r="L87" s="8"/>
      <c r="M87" s="141"/>
      <c r="N87" s="167">
        <f>142.325+9.529</f>
        <v>151.85399999999998</v>
      </c>
      <c r="O87" s="167"/>
      <c r="P87" s="152"/>
      <c r="Q87" s="152"/>
      <c r="R87" s="152"/>
      <c r="S87" s="153">
        <f>D87-E87</f>
        <v>-18.353999999999985</v>
      </c>
      <c r="T87" s="152"/>
      <c r="U87" s="10"/>
      <c r="V87" s="10"/>
      <c r="W87" s="5" t="s">
        <v>705</v>
      </c>
    </row>
    <row r="88" spans="1:23" ht="23.25" customHeight="1">
      <c r="A88" s="11"/>
      <c r="B88" s="13" t="s">
        <v>707</v>
      </c>
      <c r="C88" s="8"/>
      <c r="D88" s="8">
        <f t="shared" si="3"/>
        <v>133.5</v>
      </c>
      <c r="E88" s="23">
        <f t="shared" si="4"/>
        <v>152.326</v>
      </c>
      <c r="F88" s="8"/>
      <c r="G88" s="8"/>
      <c r="H88" s="8"/>
      <c r="I88" s="23"/>
      <c r="J88" s="110">
        <v>133.5</v>
      </c>
      <c r="K88" s="167">
        <f>142.292+10.034</f>
        <v>152.326</v>
      </c>
      <c r="L88" s="8"/>
      <c r="M88" s="141"/>
      <c r="N88" s="167">
        <f>142.292+10.034</f>
        <v>152.326</v>
      </c>
      <c r="O88" s="167"/>
      <c r="P88" s="152"/>
      <c r="Q88" s="152"/>
      <c r="R88" s="152"/>
      <c r="S88" s="153">
        <f>D88-E88</f>
        <v>-18.825999999999993</v>
      </c>
      <c r="T88" s="152"/>
      <c r="U88" s="10"/>
      <c r="V88" s="10"/>
      <c r="W88" s="5" t="s">
        <v>705</v>
      </c>
    </row>
    <row r="89" spans="1:23" ht="23.25" customHeight="1">
      <c r="A89" s="11"/>
      <c r="B89" s="13" t="s">
        <v>708</v>
      </c>
      <c r="C89" s="8"/>
      <c r="D89" s="8">
        <f t="shared" si="3"/>
        <v>133.5</v>
      </c>
      <c r="E89" s="23">
        <f t="shared" si="4"/>
        <v>151.881</v>
      </c>
      <c r="F89" s="8"/>
      <c r="G89" s="8"/>
      <c r="H89" s="8"/>
      <c r="I89" s="23"/>
      <c r="J89" s="110">
        <v>133.5</v>
      </c>
      <c r="K89" s="167">
        <f>142.292+9.589</f>
        <v>151.881</v>
      </c>
      <c r="L89" s="8"/>
      <c r="M89" s="141"/>
      <c r="N89" s="167">
        <f>142.292+9.589</f>
        <v>151.881</v>
      </c>
      <c r="O89" s="167"/>
      <c r="P89" s="152"/>
      <c r="Q89" s="152"/>
      <c r="R89" s="152"/>
      <c r="S89" s="153">
        <f>D89-E89</f>
        <v>-18.381</v>
      </c>
      <c r="T89" s="152"/>
      <c r="U89" s="10"/>
      <c r="V89" s="10"/>
      <c r="W89" s="5" t="s">
        <v>705</v>
      </c>
    </row>
    <row r="90" spans="1:96" s="20" customFormat="1" ht="23.25" customHeight="1">
      <c r="A90" s="11"/>
      <c r="B90" s="17" t="s">
        <v>709</v>
      </c>
      <c r="C90" s="3"/>
      <c r="D90" s="163">
        <f t="shared" si="3"/>
        <v>532</v>
      </c>
      <c r="E90" s="24">
        <f t="shared" si="4"/>
        <v>589.215</v>
      </c>
      <c r="F90" s="3">
        <f aca="true" t="shared" si="6" ref="F90:N90">F91+F92</f>
        <v>0</v>
      </c>
      <c r="G90" s="3">
        <f t="shared" si="6"/>
        <v>0</v>
      </c>
      <c r="H90" s="3">
        <f t="shared" si="6"/>
        <v>0</v>
      </c>
      <c r="I90" s="3">
        <f t="shared" si="6"/>
        <v>0</v>
      </c>
      <c r="J90" s="3">
        <f t="shared" si="6"/>
        <v>0</v>
      </c>
      <c r="K90" s="3">
        <f t="shared" si="6"/>
        <v>0</v>
      </c>
      <c r="L90" s="3">
        <f t="shared" si="6"/>
        <v>532</v>
      </c>
      <c r="M90" s="3">
        <f t="shared" si="6"/>
        <v>589.215</v>
      </c>
      <c r="N90" s="3">
        <f t="shared" si="6"/>
        <v>589.215</v>
      </c>
      <c r="O90" s="3"/>
      <c r="P90" s="3"/>
      <c r="Q90" s="3"/>
      <c r="R90" s="3">
        <f>R91+R92</f>
        <v>0</v>
      </c>
      <c r="S90" s="3">
        <f>S91+S92</f>
        <v>-57.21500000000003</v>
      </c>
      <c r="T90" s="165"/>
      <c r="U90" s="19"/>
      <c r="V90" s="19"/>
      <c r="W90" s="5" t="s">
        <v>705</v>
      </c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  <c r="BI90" s="166"/>
      <c r="BJ90" s="166"/>
      <c r="BK90" s="166"/>
      <c r="BL90" s="166"/>
      <c r="BM90" s="166"/>
      <c r="BN90" s="166"/>
      <c r="BO90" s="166"/>
      <c r="BP90" s="166"/>
      <c r="BQ90" s="166"/>
      <c r="BR90" s="166"/>
      <c r="BS90" s="166"/>
      <c r="BT90" s="166"/>
      <c r="BU90" s="166"/>
      <c r="BV90" s="166"/>
      <c r="BW90" s="166"/>
      <c r="BX90" s="166"/>
      <c r="BY90" s="166"/>
      <c r="BZ90" s="166"/>
      <c r="CA90" s="166"/>
      <c r="CB90" s="166"/>
      <c r="CC90" s="166"/>
      <c r="CD90" s="166"/>
      <c r="CE90" s="166"/>
      <c r="CF90" s="166"/>
      <c r="CG90" s="166"/>
      <c r="CH90" s="166"/>
      <c r="CI90" s="166"/>
      <c r="CJ90" s="166"/>
      <c r="CK90" s="166"/>
      <c r="CL90" s="166"/>
      <c r="CM90" s="166"/>
      <c r="CN90" s="166"/>
      <c r="CO90" s="166"/>
      <c r="CP90" s="166"/>
      <c r="CQ90" s="166"/>
      <c r="CR90" s="166"/>
    </row>
    <row r="91" spans="1:23" ht="23.25" customHeight="1">
      <c r="A91" s="11"/>
      <c r="B91" s="13" t="s">
        <v>710</v>
      </c>
      <c r="C91" s="8"/>
      <c r="D91" s="8">
        <f t="shared" si="3"/>
        <v>266</v>
      </c>
      <c r="E91" s="23">
        <f t="shared" si="4"/>
        <v>293.98</v>
      </c>
      <c r="F91" s="8"/>
      <c r="G91" s="8"/>
      <c r="H91" s="8"/>
      <c r="I91" s="23"/>
      <c r="J91" s="110"/>
      <c r="K91" s="167"/>
      <c r="L91" s="8">
        <v>266</v>
      </c>
      <c r="M91" s="141">
        <v>293.98</v>
      </c>
      <c r="N91" s="167">
        <f>E91</f>
        <v>293.98</v>
      </c>
      <c r="O91" s="167"/>
      <c r="P91" s="152"/>
      <c r="Q91" s="152"/>
      <c r="R91" s="152"/>
      <c r="S91" s="153">
        <f>D91-E91</f>
        <v>-27.980000000000018</v>
      </c>
      <c r="T91" s="152"/>
      <c r="U91" s="10"/>
      <c r="V91" s="10"/>
      <c r="W91" s="5" t="s">
        <v>705</v>
      </c>
    </row>
    <row r="92" spans="1:23" ht="23.25" customHeight="1">
      <c r="A92" s="11"/>
      <c r="B92" s="13" t="s">
        <v>711</v>
      </c>
      <c r="C92" s="8"/>
      <c r="D92" s="8">
        <f t="shared" si="3"/>
        <v>266</v>
      </c>
      <c r="E92" s="23">
        <f t="shared" si="4"/>
        <v>295.235</v>
      </c>
      <c r="F92" s="8"/>
      <c r="G92" s="8"/>
      <c r="H92" s="8"/>
      <c r="I92" s="23"/>
      <c r="J92" s="110"/>
      <c r="K92" s="167"/>
      <c r="L92" s="8">
        <v>266</v>
      </c>
      <c r="M92" s="141">
        <v>295.235</v>
      </c>
      <c r="N92" s="167">
        <f>E92</f>
        <v>295.235</v>
      </c>
      <c r="O92" s="167"/>
      <c r="P92" s="152"/>
      <c r="Q92" s="152"/>
      <c r="R92" s="152"/>
      <c r="S92" s="153">
        <f>D92-E92</f>
        <v>-29.235000000000014</v>
      </c>
      <c r="T92" s="152"/>
      <c r="U92" s="10"/>
      <c r="V92" s="10"/>
      <c r="W92" s="5" t="s">
        <v>705</v>
      </c>
    </row>
    <row r="93" spans="1:23" ht="23.25" customHeight="1">
      <c r="A93" s="11"/>
      <c r="B93" s="13"/>
      <c r="C93" s="8"/>
      <c r="D93" s="8"/>
      <c r="E93" s="23"/>
      <c r="F93" s="8"/>
      <c r="G93" s="8"/>
      <c r="H93" s="8"/>
      <c r="I93" s="23"/>
      <c r="J93" s="110"/>
      <c r="K93" s="167"/>
      <c r="L93" s="8"/>
      <c r="M93" s="141"/>
      <c r="N93" s="167"/>
      <c r="O93" s="167"/>
      <c r="P93" s="152"/>
      <c r="Q93" s="152"/>
      <c r="R93" s="152"/>
      <c r="S93" s="153"/>
      <c r="T93" s="152"/>
      <c r="U93" s="10"/>
      <c r="V93" s="10"/>
      <c r="W93" s="8"/>
    </row>
    <row r="94" spans="1:96" s="151" customFormat="1" ht="64.5" customHeight="1">
      <c r="A94" s="145" t="s">
        <v>33</v>
      </c>
      <c r="B94" s="156" t="s">
        <v>712</v>
      </c>
      <c r="C94" s="168"/>
      <c r="D94" s="147">
        <f>F94+H94+J94+L94</f>
        <v>4741.466</v>
      </c>
      <c r="E94" s="147">
        <f>G94+I94+K94+M94</f>
        <v>4905.66</v>
      </c>
      <c r="F94" s="146">
        <v>0</v>
      </c>
      <c r="G94" s="146">
        <v>0</v>
      </c>
      <c r="H94" s="147">
        <f>H95+H108</f>
        <v>976.243</v>
      </c>
      <c r="I94" s="147">
        <f>I95+I108</f>
        <v>976.243</v>
      </c>
      <c r="J94" s="169">
        <f>J95+J108</f>
        <v>2800.223</v>
      </c>
      <c r="K94" s="147">
        <f>K95+K108</f>
        <v>2702.735</v>
      </c>
      <c r="L94" s="169">
        <f>L95+L108+L105</f>
        <v>965</v>
      </c>
      <c r="M94" s="147">
        <f>M95+M108+M105</f>
        <v>1226.682</v>
      </c>
      <c r="N94" s="147">
        <f>N95+N108+N105</f>
        <v>4905.66</v>
      </c>
      <c r="O94" s="147"/>
      <c r="P94" s="170"/>
      <c r="Q94" s="170"/>
      <c r="R94" s="170"/>
      <c r="S94" s="170">
        <f>S95+S108</f>
        <v>-62.26600000000005</v>
      </c>
      <c r="T94" s="170"/>
      <c r="U94" s="149"/>
      <c r="V94" s="149"/>
      <c r="W94" s="149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  <c r="BI94" s="150"/>
      <c r="BJ94" s="150"/>
      <c r="BK94" s="150"/>
      <c r="BL94" s="150"/>
      <c r="BM94" s="150"/>
      <c r="BN94" s="150"/>
      <c r="BO94" s="150"/>
      <c r="BP94" s="150"/>
      <c r="BQ94" s="150"/>
      <c r="BR94" s="150"/>
      <c r="BS94" s="150"/>
      <c r="BT94" s="150"/>
      <c r="BU94" s="150"/>
      <c r="BV94" s="150"/>
      <c r="BW94" s="150"/>
      <c r="BX94" s="150"/>
      <c r="BY94" s="150"/>
      <c r="BZ94" s="150"/>
      <c r="CA94" s="150"/>
      <c r="CB94" s="150"/>
      <c r="CC94" s="150"/>
      <c r="CD94" s="150"/>
      <c r="CE94" s="150"/>
      <c r="CF94" s="150"/>
      <c r="CG94" s="150"/>
      <c r="CH94" s="150"/>
      <c r="CI94" s="150"/>
      <c r="CJ94" s="150"/>
      <c r="CK94" s="150"/>
      <c r="CL94" s="150"/>
      <c r="CM94" s="150"/>
      <c r="CN94" s="150"/>
      <c r="CO94" s="150"/>
      <c r="CP94" s="150"/>
      <c r="CQ94" s="150"/>
      <c r="CR94" s="150"/>
    </row>
    <row r="95" spans="1:23" ht="20.25" customHeight="1">
      <c r="A95" s="11"/>
      <c r="B95" s="171" t="s">
        <v>35</v>
      </c>
      <c r="C95" s="8"/>
      <c r="D95" s="24">
        <f>F95+H95+J95+L95</f>
        <v>3377.944</v>
      </c>
      <c r="E95" s="24">
        <f>G95+I95+K95+M95</f>
        <v>3594.254</v>
      </c>
      <c r="F95" s="163">
        <f aca="true" t="shared" si="7" ref="F95:K95">F96+F97+F98+F99+F100+F101+F102</f>
        <v>0</v>
      </c>
      <c r="G95" s="163">
        <f t="shared" si="7"/>
        <v>0</v>
      </c>
      <c r="H95" s="24">
        <f t="shared" si="7"/>
        <v>434.25</v>
      </c>
      <c r="I95" s="24">
        <f t="shared" si="7"/>
        <v>434.25</v>
      </c>
      <c r="J95" s="24">
        <f t="shared" si="7"/>
        <v>2470.694</v>
      </c>
      <c r="K95" s="24">
        <f t="shared" si="7"/>
        <v>2373.206</v>
      </c>
      <c r="L95" s="24">
        <f>L101+L102+L104+L103</f>
        <v>473</v>
      </c>
      <c r="M95" s="24">
        <f>M101+M102+M104+M103</f>
        <v>786.798</v>
      </c>
      <c r="N95" s="24">
        <f>N96+N97+N98+N99+N100+N101+N102+N103+N104</f>
        <v>3594.254</v>
      </c>
      <c r="O95" s="24"/>
      <c r="P95" s="152"/>
      <c r="Q95" s="152"/>
      <c r="R95" s="152"/>
      <c r="S95" s="24">
        <f>S96+S97+S98+S99+S100+S101+S102</f>
        <v>-0.266000000000048</v>
      </c>
      <c r="T95" s="152"/>
      <c r="U95" s="10"/>
      <c r="V95" s="10"/>
      <c r="W95" s="10"/>
    </row>
    <row r="96" spans="1:23" ht="28.5" customHeight="1">
      <c r="A96" s="11"/>
      <c r="B96" s="13" t="s">
        <v>713</v>
      </c>
      <c r="C96" s="8"/>
      <c r="D96" s="23">
        <f aca="true" t="shared" si="8" ref="D96:D104">F96+H96+J96+L96</f>
        <v>67.981</v>
      </c>
      <c r="E96" s="23">
        <f aca="true" t="shared" si="9" ref="E96:E102">I96+G96+K96+M96</f>
        <v>67.981</v>
      </c>
      <c r="F96" s="8"/>
      <c r="G96" s="8"/>
      <c r="H96" s="23">
        <v>67.981</v>
      </c>
      <c r="I96" s="23">
        <v>67.981</v>
      </c>
      <c r="J96" s="8"/>
      <c r="K96" s="8"/>
      <c r="L96" s="8"/>
      <c r="M96" s="141"/>
      <c r="N96" s="23">
        <f aca="true" t="shared" si="10" ref="N96:N104">E96</f>
        <v>67.981</v>
      </c>
      <c r="O96" s="23"/>
      <c r="P96" s="152"/>
      <c r="Q96" s="152"/>
      <c r="R96" s="152"/>
      <c r="S96" s="153">
        <f aca="true" t="shared" si="11" ref="S96:S108">D96-E96</f>
        <v>0</v>
      </c>
      <c r="T96" s="152"/>
      <c r="U96" s="10"/>
      <c r="V96" s="10"/>
      <c r="W96" s="8"/>
    </row>
    <row r="97" spans="1:23" ht="30.75" customHeight="1">
      <c r="A97" s="11"/>
      <c r="B97" s="13" t="s">
        <v>714</v>
      </c>
      <c r="C97" s="8"/>
      <c r="D97" s="23">
        <f t="shared" si="8"/>
        <v>320.09</v>
      </c>
      <c r="E97" s="23">
        <f t="shared" si="9"/>
        <v>320.09</v>
      </c>
      <c r="F97" s="8"/>
      <c r="G97" s="8"/>
      <c r="H97" s="23">
        <v>320.09</v>
      </c>
      <c r="I97" s="23">
        <v>320.09</v>
      </c>
      <c r="J97" s="8"/>
      <c r="K97" s="8"/>
      <c r="L97" s="8"/>
      <c r="M97" s="141"/>
      <c r="N97" s="23">
        <f t="shared" si="10"/>
        <v>320.09</v>
      </c>
      <c r="O97" s="23"/>
      <c r="P97" s="152"/>
      <c r="Q97" s="152"/>
      <c r="R97" s="152"/>
      <c r="S97" s="153">
        <f t="shared" si="11"/>
        <v>0</v>
      </c>
      <c r="T97" s="152"/>
      <c r="U97" s="10"/>
      <c r="V97" s="10"/>
      <c r="W97" s="8"/>
    </row>
    <row r="98" spans="1:23" ht="33.75" customHeight="1">
      <c r="A98" s="11"/>
      <c r="B98" s="13" t="s">
        <v>715</v>
      </c>
      <c r="C98" s="8"/>
      <c r="D98" s="23">
        <f t="shared" si="8"/>
        <v>46.179</v>
      </c>
      <c r="E98" s="23">
        <f t="shared" si="9"/>
        <v>46.179</v>
      </c>
      <c r="F98" s="8"/>
      <c r="G98" s="8"/>
      <c r="H98" s="23">
        <v>46.179</v>
      </c>
      <c r="I98" s="23">
        <v>46.179</v>
      </c>
      <c r="J98" s="8"/>
      <c r="K98" s="8"/>
      <c r="L98" s="8"/>
      <c r="M98" s="141"/>
      <c r="N98" s="23">
        <f t="shared" si="10"/>
        <v>46.179</v>
      </c>
      <c r="O98" s="23"/>
      <c r="P98" s="152"/>
      <c r="Q98" s="152"/>
      <c r="R98" s="152"/>
      <c r="S98" s="153">
        <f t="shared" si="11"/>
        <v>0</v>
      </c>
      <c r="T98" s="152"/>
      <c r="U98" s="10"/>
      <c r="V98" s="10"/>
      <c r="W98" s="8"/>
    </row>
    <row r="99" spans="1:23" ht="33.75" customHeight="1">
      <c r="A99" s="11"/>
      <c r="B99" s="13" t="s">
        <v>716</v>
      </c>
      <c r="C99" s="8"/>
      <c r="D99" s="23">
        <f t="shared" si="8"/>
        <v>305.599</v>
      </c>
      <c r="E99" s="23">
        <f t="shared" si="9"/>
        <v>305.599</v>
      </c>
      <c r="F99" s="8"/>
      <c r="G99" s="8"/>
      <c r="H99" s="8"/>
      <c r="I99" s="23"/>
      <c r="J99" s="110">
        <v>305.599</v>
      </c>
      <c r="K99" s="167">
        <v>305.599</v>
      </c>
      <c r="L99" s="110"/>
      <c r="M99" s="110"/>
      <c r="N99" s="23">
        <f t="shared" si="10"/>
        <v>305.599</v>
      </c>
      <c r="O99" s="23"/>
      <c r="P99" s="152"/>
      <c r="Q99" s="152"/>
      <c r="R99" s="152"/>
      <c r="S99" s="153">
        <f t="shared" si="11"/>
        <v>0</v>
      </c>
      <c r="T99" s="152"/>
      <c r="U99" s="10"/>
      <c r="V99" s="10"/>
      <c r="W99" s="8"/>
    </row>
    <row r="100" spans="1:23" ht="33.75" customHeight="1">
      <c r="A100" s="11"/>
      <c r="B100" s="13" t="s">
        <v>717</v>
      </c>
      <c r="C100" s="8"/>
      <c r="D100" s="23">
        <f t="shared" si="8"/>
        <v>283.756</v>
      </c>
      <c r="E100" s="23">
        <f t="shared" si="9"/>
        <v>283.756</v>
      </c>
      <c r="F100" s="8"/>
      <c r="G100" s="8"/>
      <c r="H100" s="8"/>
      <c r="I100" s="23"/>
      <c r="J100" s="110">
        <v>283.756</v>
      </c>
      <c r="K100" s="167">
        <f>224.123+59.633</f>
        <v>283.756</v>
      </c>
      <c r="L100" s="110"/>
      <c r="M100" s="110"/>
      <c r="N100" s="23">
        <f t="shared" si="10"/>
        <v>283.756</v>
      </c>
      <c r="O100" s="23"/>
      <c r="P100" s="152"/>
      <c r="Q100" s="152"/>
      <c r="R100" s="152"/>
      <c r="S100" s="153">
        <f t="shared" si="11"/>
        <v>0</v>
      </c>
      <c r="T100" s="152"/>
      <c r="U100" s="10"/>
      <c r="V100" s="10"/>
      <c r="W100" s="8"/>
    </row>
    <row r="101" spans="1:23" ht="33.75" customHeight="1">
      <c r="A101" s="11"/>
      <c r="B101" s="13" t="s">
        <v>718</v>
      </c>
      <c r="C101" s="8"/>
      <c r="D101" s="23">
        <f t="shared" si="8"/>
        <v>189.828</v>
      </c>
      <c r="E101" s="23">
        <f t="shared" si="9"/>
        <v>239.80700000000002</v>
      </c>
      <c r="F101" s="8"/>
      <c r="G101" s="8"/>
      <c r="H101" s="8"/>
      <c r="I101" s="23"/>
      <c r="J101" s="167">
        <v>189.828</v>
      </c>
      <c r="K101" s="167">
        <v>189.799</v>
      </c>
      <c r="L101" s="110">
        <v>0</v>
      </c>
      <c r="M101" s="110">
        <v>50.008</v>
      </c>
      <c r="N101" s="23">
        <f t="shared" si="10"/>
        <v>239.80700000000002</v>
      </c>
      <c r="O101" s="23"/>
      <c r="P101" s="152"/>
      <c r="Q101" s="152"/>
      <c r="R101" s="152"/>
      <c r="S101" s="153">
        <f t="shared" si="11"/>
        <v>-49.97900000000001</v>
      </c>
      <c r="T101" s="152"/>
      <c r="U101" s="10"/>
      <c r="V101" s="10"/>
      <c r="W101" s="8" t="s">
        <v>719</v>
      </c>
    </row>
    <row r="102" spans="1:23" ht="25.5" customHeight="1">
      <c r="A102" s="11"/>
      <c r="B102" s="13" t="s">
        <v>720</v>
      </c>
      <c r="C102" s="8"/>
      <c r="D102" s="23">
        <f t="shared" si="8"/>
        <v>1691.511</v>
      </c>
      <c r="E102" s="23">
        <f t="shared" si="9"/>
        <v>1641.798</v>
      </c>
      <c r="F102" s="8"/>
      <c r="G102" s="8"/>
      <c r="H102" s="8"/>
      <c r="I102" s="23"/>
      <c r="J102" s="167">
        <v>1691.511</v>
      </c>
      <c r="K102" s="167">
        <f>1691.511-96.2-1.259</f>
        <v>1594.052</v>
      </c>
      <c r="L102" s="110"/>
      <c r="M102" s="110">
        <f>17.507+30.239</f>
        <v>47.746</v>
      </c>
      <c r="N102" s="23">
        <f t="shared" si="10"/>
        <v>1641.798</v>
      </c>
      <c r="O102" s="23"/>
      <c r="P102" s="152"/>
      <c r="Q102" s="152"/>
      <c r="R102" s="152"/>
      <c r="S102" s="153">
        <f t="shared" si="11"/>
        <v>49.712999999999965</v>
      </c>
      <c r="T102" s="152"/>
      <c r="U102" s="10"/>
      <c r="V102" s="10"/>
      <c r="W102" s="8" t="s">
        <v>704</v>
      </c>
    </row>
    <row r="103" spans="1:23" ht="25.5" customHeight="1">
      <c r="A103" s="11"/>
      <c r="B103" s="13" t="s">
        <v>721</v>
      </c>
      <c r="C103" s="8"/>
      <c r="D103" s="23">
        <f t="shared" si="8"/>
        <v>473</v>
      </c>
      <c r="E103" s="23">
        <f>G103+I103+K103+M103</f>
        <v>524.68</v>
      </c>
      <c r="F103" s="8"/>
      <c r="G103" s="8"/>
      <c r="H103" s="8"/>
      <c r="I103" s="23"/>
      <c r="J103" s="167"/>
      <c r="K103" s="167"/>
      <c r="L103" s="110">
        <v>473</v>
      </c>
      <c r="M103" s="167">
        <f>413.873+110.807</f>
        <v>524.68</v>
      </c>
      <c r="N103" s="23">
        <f t="shared" si="10"/>
        <v>524.68</v>
      </c>
      <c r="O103" s="23"/>
      <c r="P103" s="152"/>
      <c r="Q103" s="152"/>
      <c r="R103" s="152"/>
      <c r="S103" s="153">
        <f t="shared" si="11"/>
        <v>-51.67999999999995</v>
      </c>
      <c r="T103" s="152"/>
      <c r="U103" s="10"/>
      <c r="V103" s="10"/>
      <c r="W103" s="8" t="s">
        <v>719</v>
      </c>
    </row>
    <row r="104" spans="1:23" ht="33" customHeight="1">
      <c r="A104" s="11"/>
      <c r="B104" s="13" t="s">
        <v>722</v>
      </c>
      <c r="C104" s="8"/>
      <c r="D104" s="23">
        <f t="shared" si="8"/>
        <v>0</v>
      </c>
      <c r="E104" s="23">
        <f>M104</f>
        <v>164.364</v>
      </c>
      <c r="F104" s="8"/>
      <c r="G104" s="8"/>
      <c r="H104" s="8"/>
      <c r="I104" s="23"/>
      <c r="J104" s="167"/>
      <c r="K104" s="167"/>
      <c r="L104" s="110">
        <v>0</v>
      </c>
      <c r="M104" s="110">
        <v>164.364</v>
      </c>
      <c r="N104" s="23">
        <f t="shared" si="10"/>
        <v>164.364</v>
      </c>
      <c r="O104" s="23"/>
      <c r="P104" s="152"/>
      <c r="Q104" s="152"/>
      <c r="R104" s="152"/>
      <c r="S104" s="153">
        <f t="shared" si="11"/>
        <v>-164.364</v>
      </c>
      <c r="T104" s="152"/>
      <c r="U104" s="10"/>
      <c r="V104" s="10"/>
      <c r="W104" s="8" t="s">
        <v>723</v>
      </c>
    </row>
    <row r="105" spans="1:23" ht="25.5" customHeight="1">
      <c r="A105" s="11"/>
      <c r="B105" s="17" t="s">
        <v>121</v>
      </c>
      <c r="C105" s="3"/>
      <c r="D105" s="24">
        <v>492</v>
      </c>
      <c r="E105" s="24">
        <f>M105+K105+I105+G105</f>
        <v>377.884</v>
      </c>
      <c r="F105" s="3"/>
      <c r="G105" s="3"/>
      <c r="H105" s="3"/>
      <c r="I105" s="24"/>
      <c r="J105" s="69"/>
      <c r="K105" s="69"/>
      <c r="L105" s="68">
        <f>L106+L107</f>
        <v>492</v>
      </c>
      <c r="M105" s="68">
        <f>M107+M106</f>
        <v>377.884</v>
      </c>
      <c r="N105" s="24">
        <f>N107+N106</f>
        <v>377.884</v>
      </c>
      <c r="O105" s="24"/>
      <c r="P105" s="165"/>
      <c r="Q105" s="165"/>
      <c r="R105" s="165"/>
      <c r="S105" s="153">
        <f t="shared" si="11"/>
        <v>114.11599999999999</v>
      </c>
      <c r="T105" s="165"/>
      <c r="U105" s="19"/>
      <c r="V105" s="19"/>
      <c r="W105" s="3"/>
    </row>
    <row r="106" spans="1:23" ht="29.25" customHeight="1">
      <c r="A106" s="11"/>
      <c r="B106" s="13" t="s">
        <v>724</v>
      </c>
      <c r="C106" s="8"/>
      <c r="D106" s="23">
        <v>492</v>
      </c>
      <c r="E106" s="23">
        <f>M106</f>
        <v>236.456</v>
      </c>
      <c r="F106" s="8"/>
      <c r="G106" s="8"/>
      <c r="H106" s="8"/>
      <c r="I106" s="23"/>
      <c r="J106" s="167"/>
      <c r="K106" s="167"/>
      <c r="L106" s="110">
        <v>492</v>
      </c>
      <c r="M106" s="110">
        <v>236.456</v>
      </c>
      <c r="N106" s="23">
        <f>E106</f>
        <v>236.456</v>
      </c>
      <c r="O106" s="23"/>
      <c r="P106" s="152"/>
      <c r="Q106" s="152"/>
      <c r="R106" s="152"/>
      <c r="S106" s="153">
        <f t="shared" si="11"/>
        <v>255.544</v>
      </c>
      <c r="T106" s="152"/>
      <c r="U106" s="10"/>
      <c r="V106" s="10"/>
      <c r="W106" s="8" t="s">
        <v>725</v>
      </c>
    </row>
    <row r="107" spans="1:23" ht="29.25" customHeight="1">
      <c r="A107" s="11"/>
      <c r="B107" s="13" t="s">
        <v>726</v>
      </c>
      <c r="C107" s="8"/>
      <c r="D107" s="23">
        <v>0</v>
      </c>
      <c r="E107" s="23">
        <f>M107</f>
        <v>141.428</v>
      </c>
      <c r="F107" s="8"/>
      <c r="G107" s="8"/>
      <c r="H107" s="8"/>
      <c r="I107" s="23"/>
      <c r="J107" s="167"/>
      <c r="K107" s="167"/>
      <c r="L107" s="110">
        <v>0</v>
      </c>
      <c r="M107" s="110">
        <v>141.428</v>
      </c>
      <c r="N107" s="23">
        <f>E107</f>
        <v>141.428</v>
      </c>
      <c r="O107" s="23"/>
      <c r="P107" s="152"/>
      <c r="Q107" s="152"/>
      <c r="R107" s="152"/>
      <c r="S107" s="153">
        <f t="shared" si="11"/>
        <v>-141.428</v>
      </c>
      <c r="T107" s="152"/>
      <c r="U107" s="10"/>
      <c r="V107" s="10"/>
      <c r="W107" s="8" t="s">
        <v>723</v>
      </c>
    </row>
    <row r="108" spans="1:23" ht="26.25" customHeight="1">
      <c r="A108" s="11"/>
      <c r="B108" s="40" t="s">
        <v>47</v>
      </c>
      <c r="C108" s="8"/>
      <c r="D108" s="3">
        <f>H108+J108+L108</f>
        <v>871.522</v>
      </c>
      <c r="E108" s="24">
        <f>G108+I108+K108+M108</f>
        <v>933.522</v>
      </c>
      <c r="F108" s="163">
        <f aca="true" t="shared" si="12" ref="F108:N108">F110+F111</f>
        <v>0</v>
      </c>
      <c r="G108" s="163">
        <f t="shared" si="12"/>
        <v>0</v>
      </c>
      <c r="H108" s="163">
        <f t="shared" si="12"/>
        <v>541.993</v>
      </c>
      <c r="I108" s="24">
        <f t="shared" si="12"/>
        <v>541.993</v>
      </c>
      <c r="J108" s="24">
        <f t="shared" si="12"/>
        <v>329.529</v>
      </c>
      <c r="K108" s="24">
        <f t="shared" si="12"/>
        <v>329.529</v>
      </c>
      <c r="L108" s="163">
        <f t="shared" si="12"/>
        <v>0</v>
      </c>
      <c r="M108" s="163">
        <f t="shared" si="12"/>
        <v>62</v>
      </c>
      <c r="N108" s="24">
        <f t="shared" si="12"/>
        <v>933.522</v>
      </c>
      <c r="O108" s="24"/>
      <c r="P108" s="152"/>
      <c r="Q108" s="152"/>
      <c r="R108" s="152"/>
      <c r="S108" s="153">
        <f t="shared" si="11"/>
        <v>-62</v>
      </c>
      <c r="T108" s="152"/>
      <c r="U108" s="10"/>
      <c r="V108" s="10"/>
      <c r="W108" s="8"/>
    </row>
    <row r="109" spans="1:23" ht="18" customHeight="1">
      <c r="A109" s="11"/>
      <c r="B109" s="40" t="s">
        <v>727</v>
      </c>
      <c r="C109" s="8"/>
      <c r="D109" s="3"/>
      <c r="E109" s="8"/>
      <c r="F109" s="8"/>
      <c r="G109" s="8"/>
      <c r="H109" s="8"/>
      <c r="I109" s="8"/>
      <c r="J109" s="8"/>
      <c r="K109" s="8"/>
      <c r="L109" s="8"/>
      <c r="M109" s="141"/>
      <c r="N109" s="8"/>
      <c r="O109" s="23"/>
      <c r="P109" s="152"/>
      <c r="Q109" s="152"/>
      <c r="R109" s="152"/>
      <c r="S109" s="153"/>
      <c r="T109" s="152"/>
      <c r="U109" s="10"/>
      <c r="V109" s="10"/>
      <c r="W109" s="10"/>
    </row>
    <row r="110" spans="1:23" ht="36" customHeight="1">
      <c r="A110" s="11"/>
      <c r="B110" s="13" t="s">
        <v>728</v>
      </c>
      <c r="C110" s="8"/>
      <c r="D110" s="23">
        <f>F110+H110+J110+L110</f>
        <v>541.993</v>
      </c>
      <c r="E110" s="23">
        <f>G110+I110+K110+M110</f>
        <v>541.993</v>
      </c>
      <c r="F110" s="8"/>
      <c r="G110" s="23"/>
      <c r="H110" s="23">
        <v>541.993</v>
      </c>
      <c r="I110" s="23">
        <v>541.993</v>
      </c>
      <c r="J110" s="8"/>
      <c r="K110" s="8"/>
      <c r="L110" s="8"/>
      <c r="M110" s="141"/>
      <c r="N110" s="23">
        <f>E110</f>
        <v>541.993</v>
      </c>
      <c r="O110" s="23"/>
      <c r="P110" s="152"/>
      <c r="Q110" s="152"/>
      <c r="R110" s="152"/>
      <c r="S110" s="172">
        <f>D110-E110</f>
        <v>0</v>
      </c>
      <c r="T110" s="152"/>
      <c r="U110" s="10"/>
      <c r="V110" s="10"/>
      <c r="W110" s="8"/>
    </row>
    <row r="111" spans="1:23" ht="36" customHeight="1">
      <c r="A111" s="11"/>
      <c r="B111" s="13" t="s">
        <v>729</v>
      </c>
      <c r="C111" s="8"/>
      <c r="D111" s="23">
        <f>F111+H111+J111+L111</f>
        <v>329.529</v>
      </c>
      <c r="E111" s="23">
        <f>K111+M111</f>
        <v>391.529</v>
      </c>
      <c r="F111" s="8"/>
      <c r="G111" s="23"/>
      <c r="H111" s="34"/>
      <c r="I111" s="23"/>
      <c r="J111" s="23">
        <v>329.529</v>
      </c>
      <c r="K111" s="23">
        <v>329.529</v>
      </c>
      <c r="L111" s="8">
        <v>0</v>
      </c>
      <c r="M111" s="173">
        <v>62</v>
      </c>
      <c r="N111" s="23">
        <f>E111</f>
        <v>391.529</v>
      </c>
      <c r="O111" s="23"/>
      <c r="P111" s="152"/>
      <c r="Q111" s="152"/>
      <c r="R111" s="152"/>
      <c r="S111" s="172">
        <f>D111-E111</f>
        <v>-62</v>
      </c>
      <c r="T111" s="152"/>
      <c r="U111" s="10"/>
      <c r="V111" s="10"/>
      <c r="W111" s="8" t="s">
        <v>719</v>
      </c>
    </row>
    <row r="112" spans="1:96" s="151" customFormat="1" ht="56.25" customHeight="1">
      <c r="A112" s="145" t="s">
        <v>504</v>
      </c>
      <c r="B112" s="174" t="s">
        <v>77</v>
      </c>
      <c r="C112" s="168"/>
      <c r="D112" s="147">
        <f aca="true" t="shared" si="13" ref="D112:N112">D113+D127+D134+D136+D149+D159+D169+D185+D198</f>
        <v>22787.867</v>
      </c>
      <c r="E112" s="147">
        <f t="shared" si="13"/>
        <v>23283.497999999996</v>
      </c>
      <c r="F112" s="146">
        <f t="shared" si="13"/>
        <v>2505.5119999999997</v>
      </c>
      <c r="G112" s="147">
        <f t="shared" si="13"/>
        <v>2505.5119999999997</v>
      </c>
      <c r="H112" s="169">
        <f t="shared" si="13"/>
        <v>6395.551</v>
      </c>
      <c r="I112" s="147">
        <f t="shared" si="13"/>
        <v>6311.070000000001</v>
      </c>
      <c r="J112" s="169">
        <f t="shared" si="13"/>
        <v>9710.355</v>
      </c>
      <c r="K112" s="147">
        <f t="shared" si="13"/>
        <v>9366.848999999998</v>
      </c>
      <c r="L112" s="169">
        <f t="shared" si="13"/>
        <v>4176.4490000000005</v>
      </c>
      <c r="M112" s="147">
        <f t="shared" si="13"/>
        <v>5100.067</v>
      </c>
      <c r="N112" s="147">
        <f t="shared" si="13"/>
        <v>23283.489999999998</v>
      </c>
      <c r="O112" s="147"/>
      <c r="P112" s="170"/>
      <c r="Q112" s="170"/>
      <c r="R112" s="170"/>
      <c r="S112" s="170">
        <f>F112-G112</f>
        <v>0</v>
      </c>
      <c r="T112" s="170"/>
      <c r="U112" s="149"/>
      <c r="V112" s="149"/>
      <c r="W112" s="149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  <c r="BG112" s="150"/>
      <c r="BH112" s="150"/>
      <c r="BI112" s="150"/>
      <c r="BJ112" s="150"/>
      <c r="BK112" s="150"/>
      <c r="BL112" s="150"/>
      <c r="BM112" s="150"/>
      <c r="BN112" s="150"/>
      <c r="BO112" s="150"/>
      <c r="BP112" s="150"/>
      <c r="BQ112" s="150"/>
      <c r="BR112" s="150"/>
      <c r="BS112" s="150"/>
      <c r="BT112" s="150"/>
      <c r="BU112" s="150"/>
      <c r="BV112" s="150"/>
      <c r="BW112" s="150"/>
      <c r="BX112" s="150"/>
      <c r="BY112" s="150"/>
      <c r="BZ112" s="150"/>
      <c r="CA112" s="150"/>
      <c r="CB112" s="150"/>
      <c r="CC112" s="150"/>
      <c r="CD112" s="150"/>
      <c r="CE112" s="150"/>
      <c r="CF112" s="150"/>
      <c r="CG112" s="150"/>
      <c r="CH112" s="150"/>
      <c r="CI112" s="150"/>
      <c r="CJ112" s="150"/>
      <c r="CK112" s="150"/>
      <c r="CL112" s="150"/>
      <c r="CM112" s="150"/>
      <c r="CN112" s="150"/>
      <c r="CO112" s="150"/>
      <c r="CP112" s="150"/>
      <c r="CQ112" s="150"/>
      <c r="CR112" s="150"/>
    </row>
    <row r="113" spans="1:96" s="20" customFormat="1" ht="15.75" customHeight="1">
      <c r="A113" s="60"/>
      <c r="B113" s="171" t="s">
        <v>35</v>
      </c>
      <c r="C113" s="61"/>
      <c r="D113" s="61">
        <f aca="true" t="shared" si="14" ref="D113:D136">F113+H113+J113+L113</f>
        <v>5431.21</v>
      </c>
      <c r="E113" s="61">
        <f aca="true" t="shared" si="15" ref="E113:E136">G113+I113+K113+M113</f>
        <v>5553.063</v>
      </c>
      <c r="F113" s="60">
        <f aca="true" t="shared" si="16" ref="F113:K113">F114+F115+F116+F117+F118+F119+F120+F121+F122+F123+F124+F125</f>
        <v>1573.513</v>
      </c>
      <c r="G113" s="60">
        <f t="shared" si="16"/>
        <v>1573.513</v>
      </c>
      <c r="H113" s="60">
        <f t="shared" si="16"/>
        <v>1251.836</v>
      </c>
      <c r="I113" s="60">
        <f t="shared" si="16"/>
        <v>1251.836</v>
      </c>
      <c r="J113" s="60">
        <f t="shared" si="16"/>
        <v>1752.5520000000001</v>
      </c>
      <c r="K113" s="60">
        <f t="shared" si="16"/>
        <v>1570.922</v>
      </c>
      <c r="L113" s="60">
        <f>L114+L115+L116+L117+L118+L119+L120+L121+L122+L123+L124+L125+L126</f>
        <v>853.309</v>
      </c>
      <c r="M113" s="60">
        <f>M114+M115+M116+M117+M118+M119+M120+M121+M122+M123+M124+M125+M126</f>
        <v>1156.792</v>
      </c>
      <c r="N113" s="61">
        <f>N114+N115+N116+N117+N118+N119+N120+N121+N122+N123+N124+N125+N126</f>
        <v>5553.063</v>
      </c>
      <c r="O113" s="60"/>
      <c r="P113" s="165"/>
      <c r="Q113" s="165"/>
      <c r="R113" s="165"/>
      <c r="S113" s="60">
        <f>S114+S115+S116+S117+S118+S119+S120+S121+S122+S123+S124+S125</f>
        <v>-91.63300000000001</v>
      </c>
      <c r="T113" s="165"/>
      <c r="U113" s="19"/>
      <c r="V113" s="19"/>
      <c r="W113" s="3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6"/>
      <c r="BI113" s="166"/>
      <c r="BJ113" s="166"/>
      <c r="BK113" s="166"/>
      <c r="BL113" s="166"/>
      <c r="BM113" s="166"/>
      <c r="BN113" s="166"/>
      <c r="BO113" s="166"/>
      <c r="BP113" s="166"/>
      <c r="BQ113" s="166"/>
      <c r="BR113" s="166"/>
      <c r="BS113" s="166"/>
      <c r="BT113" s="166"/>
      <c r="BU113" s="166"/>
      <c r="BV113" s="166"/>
      <c r="BW113" s="166"/>
      <c r="BX113" s="166"/>
      <c r="BY113" s="166"/>
      <c r="BZ113" s="166"/>
      <c r="CA113" s="166"/>
      <c r="CB113" s="166"/>
      <c r="CC113" s="166"/>
      <c r="CD113" s="166"/>
      <c r="CE113" s="166"/>
      <c r="CF113" s="166"/>
      <c r="CG113" s="166"/>
      <c r="CH113" s="166"/>
      <c r="CI113" s="166"/>
      <c r="CJ113" s="166"/>
      <c r="CK113" s="166"/>
      <c r="CL113" s="166"/>
      <c r="CM113" s="166"/>
      <c r="CN113" s="166"/>
      <c r="CO113" s="166"/>
      <c r="CP113" s="166"/>
      <c r="CQ113" s="166"/>
      <c r="CR113" s="166"/>
    </row>
    <row r="114" spans="2:97" s="40" customFormat="1" ht="30.75" customHeight="1">
      <c r="B114" s="13" t="s">
        <v>730</v>
      </c>
      <c r="C114" s="3"/>
      <c r="D114" s="23">
        <f t="shared" si="14"/>
        <v>101.284</v>
      </c>
      <c r="E114" s="23">
        <f t="shared" si="15"/>
        <v>101.284</v>
      </c>
      <c r="F114" s="23">
        <v>101.284</v>
      </c>
      <c r="G114" s="23">
        <v>101.284</v>
      </c>
      <c r="H114" s="163"/>
      <c r="I114" s="3"/>
      <c r="J114" s="3"/>
      <c r="K114" s="3"/>
      <c r="L114" s="3"/>
      <c r="M114" s="164"/>
      <c r="N114" s="23">
        <v>101.284</v>
      </c>
      <c r="O114" s="23"/>
      <c r="P114" s="165"/>
      <c r="Q114" s="165"/>
      <c r="R114" s="165"/>
      <c r="S114" s="152">
        <f aca="true" t="shared" si="17" ref="S114:S125">D114-E114</f>
        <v>0</v>
      </c>
      <c r="T114" s="165"/>
      <c r="W114" s="8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  <c r="AS114" s="175"/>
      <c r="AT114" s="175"/>
      <c r="AU114" s="175"/>
      <c r="AV114" s="175"/>
      <c r="AW114" s="175"/>
      <c r="AX114" s="175"/>
      <c r="AY114" s="175"/>
      <c r="AZ114" s="175"/>
      <c r="BA114" s="175"/>
      <c r="BB114" s="175"/>
      <c r="BC114" s="175"/>
      <c r="BD114" s="175"/>
      <c r="BE114" s="175"/>
      <c r="BF114" s="175"/>
      <c r="BG114" s="175"/>
      <c r="BH114" s="175"/>
      <c r="BI114" s="175"/>
      <c r="BJ114" s="175"/>
      <c r="BK114" s="175"/>
      <c r="BL114" s="175"/>
      <c r="BM114" s="175"/>
      <c r="BN114" s="175"/>
      <c r="BO114" s="175"/>
      <c r="BP114" s="175"/>
      <c r="BQ114" s="175"/>
      <c r="BR114" s="175"/>
      <c r="BS114" s="175"/>
      <c r="BT114" s="175"/>
      <c r="BU114" s="175"/>
      <c r="BV114" s="175"/>
      <c r="BW114" s="175"/>
      <c r="BX114" s="175"/>
      <c r="BY114" s="175"/>
      <c r="BZ114" s="175"/>
      <c r="CA114" s="175"/>
      <c r="CB114" s="175"/>
      <c r="CC114" s="175"/>
      <c r="CD114" s="175"/>
      <c r="CE114" s="175"/>
      <c r="CF114" s="175"/>
      <c r="CG114" s="175"/>
      <c r="CH114" s="175"/>
      <c r="CI114" s="175"/>
      <c r="CJ114" s="175"/>
      <c r="CK114" s="175"/>
      <c r="CL114" s="175"/>
      <c r="CM114" s="175"/>
      <c r="CN114" s="175"/>
      <c r="CO114" s="175"/>
      <c r="CP114" s="175"/>
      <c r="CQ114" s="175"/>
      <c r="CR114" s="175"/>
      <c r="CS114" s="176"/>
    </row>
    <row r="115" spans="2:97" s="40" customFormat="1" ht="30.75" customHeight="1">
      <c r="B115" s="13" t="s">
        <v>731</v>
      </c>
      <c r="C115" s="3"/>
      <c r="D115" s="23">
        <f t="shared" si="14"/>
        <v>128.93</v>
      </c>
      <c r="E115" s="23">
        <f t="shared" si="15"/>
        <v>128.93</v>
      </c>
      <c r="F115" s="23">
        <v>128.93</v>
      </c>
      <c r="G115" s="23">
        <v>128.93</v>
      </c>
      <c r="H115" s="163"/>
      <c r="I115" s="3"/>
      <c r="J115" s="3"/>
      <c r="K115" s="3"/>
      <c r="L115" s="3"/>
      <c r="M115" s="164"/>
      <c r="N115" s="23">
        <v>128.93</v>
      </c>
      <c r="O115" s="23"/>
      <c r="P115" s="165"/>
      <c r="Q115" s="165"/>
      <c r="R115" s="165"/>
      <c r="S115" s="152">
        <f t="shared" si="17"/>
        <v>0</v>
      </c>
      <c r="T115" s="165"/>
      <c r="W115" s="8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  <c r="AQ115" s="175"/>
      <c r="AR115" s="175"/>
      <c r="AS115" s="175"/>
      <c r="AT115" s="175"/>
      <c r="AU115" s="175"/>
      <c r="AV115" s="175"/>
      <c r="AW115" s="175"/>
      <c r="AX115" s="175"/>
      <c r="AY115" s="175"/>
      <c r="AZ115" s="175"/>
      <c r="BA115" s="175"/>
      <c r="BB115" s="175"/>
      <c r="BC115" s="175"/>
      <c r="BD115" s="175"/>
      <c r="BE115" s="175"/>
      <c r="BF115" s="175"/>
      <c r="BG115" s="175"/>
      <c r="BH115" s="175"/>
      <c r="BI115" s="175"/>
      <c r="BJ115" s="175"/>
      <c r="BK115" s="175"/>
      <c r="BL115" s="175"/>
      <c r="BM115" s="175"/>
      <c r="BN115" s="175"/>
      <c r="BO115" s="175"/>
      <c r="BP115" s="175"/>
      <c r="BQ115" s="175"/>
      <c r="BR115" s="175"/>
      <c r="BS115" s="175"/>
      <c r="BT115" s="175"/>
      <c r="BU115" s="175"/>
      <c r="BV115" s="175"/>
      <c r="BW115" s="175"/>
      <c r="BX115" s="175"/>
      <c r="BY115" s="175"/>
      <c r="BZ115" s="175"/>
      <c r="CA115" s="175"/>
      <c r="CB115" s="175"/>
      <c r="CC115" s="175"/>
      <c r="CD115" s="175"/>
      <c r="CE115" s="175"/>
      <c r="CF115" s="175"/>
      <c r="CG115" s="175"/>
      <c r="CH115" s="175"/>
      <c r="CI115" s="175"/>
      <c r="CJ115" s="175"/>
      <c r="CK115" s="175"/>
      <c r="CL115" s="175"/>
      <c r="CM115" s="175"/>
      <c r="CN115" s="175"/>
      <c r="CO115" s="175"/>
      <c r="CP115" s="175"/>
      <c r="CQ115" s="175"/>
      <c r="CR115" s="175"/>
      <c r="CS115" s="176"/>
    </row>
    <row r="116" spans="2:97" s="40" customFormat="1" ht="30.75" customHeight="1">
      <c r="B116" s="13" t="s">
        <v>732</v>
      </c>
      <c r="C116" s="3"/>
      <c r="D116" s="23">
        <f t="shared" si="14"/>
        <v>219.782</v>
      </c>
      <c r="E116" s="23">
        <f t="shared" si="15"/>
        <v>219.782</v>
      </c>
      <c r="F116" s="23">
        <v>219.782</v>
      </c>
      <c r="G116" s="23">
        <v>219.782</v>
      </c>
      <c r="H116" s="163"/>
      <c r="I116" s="3"/>
      <c r="J116" s="3"/>
      <c r="K116" s="3"/>
      <c r="L116" s="3"/>
      <c r="M116" s="164"/>
      <c r="N116" s="23">
        <v>219.782</v>
      </c>
      <c r="O116" s="23"/>
      <c r="P116" s="165"/>
      <c r="Q116" s="165"/>
      <c r="R116" s="165"/>
      <c r="S116" s="152">
        <f t="shared" si="17"/>
        <v>0</v>
      </c>
      <c r="T116" s="165"/>
      <c r="W116" s="8"/>
      <c r="X116" s="175"/>
      <c r="Y116" s="17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  <c r="AQ116" s="175"/>
      <c r="AR116" s="175"/>
      <c r="AS116" s="175"/>
      <c r="AT116" s="175"/>
      <c r="AU116" s="175"/>
      <c r="AV116" s="175"/>
      <c r="AW116" s="175"/>
      <c r="AX116" s="175"/>
      <c r="AY116" s="175"/>
      <c r="AZ116" s="175"/>
      <c r="BA116" s="175"/>
      <c r="BB116" s="175"/>
      <c r="BC116" s="175"/>
      <c r="BD116" s="175"/>
      <c r="BE116" s="175"/>
      <c r="BF116" s="175"/>
      <c r="BG116" s="175"/>
      <c r="BH116" s="175"/>
      <c r="BI116" s="175"/>
      <c r="BJ116" s="175"/>
      <c r="BK116" s="175"/>
      <c r="BL116" s="175"/>
      <c r="BM116" s="175"/>
      <c r="BN116" s="175"/>
      <c r="BO116" s="175"/>
      <c r="BP116" s="175"/>
      <c r="BQ116" s="175"/>
      <c r="BR116" s="175"/>
      <c r="BS116" s="175"/>
      <c r="BT116" s="175"/>
      <c r="BU116" s="175"/>
      <c r="BV116" s="175"/>
      <c r="BW116" s="175"/>
      <c r="BX116" s="175"/>
      <c r="BY116" s="175"/>
      <c r="BZ116" s="175"/>
      <c r="CA116" s="175"/>
      <c r="CB116" s="175"/>
      <c r="CC116" s="175"/>
      <c r="CD116" s="175"/>
      <c r="CE116" s="175"/>
      <c r="CF116" s="175"/>
      <c r="CG116" s="175"/>
      <c r="CH116" s="175"/>
      <c r="CI116" s="175"/>
      <c r="CJ116" s="175"/>
      <c r="CK116" s="175"/>
      <c r="CL116" s="175"/>
      <c r="CM116" s="175"/>
      <c r="CN116" s="175"/>
      <c r="CO116" s="175"/>
      <c r="CP116" s="175"/>
      <c r="CQ116" s="175"/>
      <c r="CR116" s="175"/>
      <c r="CS116" s="176"/>
    </row>
    <row r="117" spans="2:97" s="40" customFormat="1" ht="30.75" customHeight="1">
      <c r="B117" s="13" t="s">
        <v>733</v>
      </c>
      <c r="C117" s="3"/>
      <c r="D117" s="23">
        <f t="shared" si="14"/>
        <v>631.59</v>
      </c>
      <c r="E117" s="23">
        <f t="shared" si="15"/>
        <v>631.59</v>
      </c>
      <c r="F117" s="23">
        <v>631.59</v>
      </c>
      <c r="G117" s="23">
        <v>631.59</v>
      </c>
      <c r="H117" s="163"/>
      <c r="I117" s="3"/>
      <c r="J117" s="3"/>
      <c r="K117" s="3"/>
      <c r="L117" s="3"/>
      <c r="M117" s="164"/>
      <c r="N117" s="23">
        <v>631.59</v>
      </c>
      <c r="O117" s="23"/>
      <c r="P117" s="165"/>
      <c r="Q117" s="165"/>
      <c r="R117" s="165"/>
      <c r="S117" s="152">
        <f t="shared" si="17"/>
        <v>0</v>
      </c>
      <c r="T117" s="165"/>
      <c r="W117" s="8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175"/>
      <c r="AN117" s="175"/>
      <c r="AO117" s="175"/>
      <c r="AP117" s="175"/>
      <c r="AQ117" s="175"/>
      <c r="AR117" s="175"/>
      <c r="AS117" s="175"/>
      <c r="AT117" s="175"/>
      <c r="AU117" s="175"/>
      <c r="AV117" s="175"/>
      <c r="AW117" s="175"/>
      <c r="AX117" s="175"/>
      <c r="AY117" s="175"/>
      <c r="AZ117" s="175"/>
      <c r="BA117" s="175"/>
      <c r="BB117" s="175"/>
      <c r="BC117" s="175"/>
      <c r="BD117" s="175"/>
      <c r="BE117" s="175"/>
      <c r="BF117" s="175"/>
      <c r="BG117" s="175"/>
      <c r="BH117" s="175"/>
      <c r="BI117" s="175"/>
      <c r="BJ117" s="175"/>
      <c r="BK117" s="175"/>
      <c r="BL117" s="175"/>
      <c r="BM117" s="175"/>
      <c r="BN117" s="175"/>
      <c r="BO117" s="175"/>
      <c r="BP117" s="175"/>
      <c r="BQ117" s="175"/>
      <c r="BR117" s="175"/>
      <c r="BS117" s="175"/>
      <c r="BT117" s="175"/>
      <c r="BU117" s="175"/>
      <c r="BV117" s="175"/>
      <c r="BW117" s="175"/>
      <c r="BX117" s="175"/>
      <c r="BY117" s="175"/>
      <c r="BZ117" s="175"/>
      <c r="CA117" s="175"/>
      <c r="CB117" s="175"/>
      <c r="CC117" s="175"/>
      <c r="CD117" s="175"/>
      <c r="CE117" s="175"/>
      <c r="CF117" s="175"/>
      <c r="CG117" s="175"/>
      <c r="CH117" s="175"/>
      <c r="CI117" s="175"/>
      <c r="CJ117" s="175"/>
      <c r="CK117" s="175"/>
      <c r="CL117" s="175"/>
      <c r="CM117" s="175"/>
      <c r="CN117" s="175"/>
      <c r="CO117" s="175"/>
      <c r="CP117" s="175"/>
      <c r="CQ117" s="175"/>
      <c r="CR117" s="175"/>
      <c r="CS117" s="176"/>
    </row>
    <row r="118" spans="2:97" s="40" customFormat="1" ht="30.75" customHeight="1">
      <c r="B118" s="13" t="s">
        <v>734</v>
      </c>
      <c r="C118" s="3"/>
      <c r="D118" s="23">
        <f t="shared" si="14"/>
        <v>390.97</v>
      </c>
      <c r="E118" s="23">
        <f t="shared" si="15"/>
        <v>390.97</v>
      </c>
      <c r="F118" s="23">
        <v>390.97</v>
      </c>
      <c r="G118" s="23">
        <v>390.97</v>
      </c>
      <c r="H118" s="163"/>
      <c r="I118" s="3"/>
      <c r="J118" s="3"/>
      <c r="K118" s="3"/>
      <c r="L118" s="3"/>
      <c r="M118" s="164"/>
      <c r="N118" s="23">
        <v>390.97</v>
      </c>
      <c r="O118" s="23"/>
      <c r="P118" s="165"/>
      <c r="Q118" s="165"/>
      <c r="R118" s="165"/>
      <c r="S118" s="152">
        <f t="shared" si="17"/>
        <v>0</v>
      </c>
      <c r="T118" s="165"/>
      <c r="W118" s="8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  <c r="AS118" s="175"/>
      <c r="AT118" s="175"/>
      <c r="AU118" s="175"/>
      <c r="AV118" s="175"/>
      <c r="AW118" s="175"/>
      <c r="AX118" s="175"/>
      <c r="AY118" s="175"/>
      <c r="AZ118" s="175"/>
      <c r="BA118" s="175"/>
      <c r="BB118" s="175"/>
      <c r="BC118" s="175"/>
      <c r="BD118" s="175"/>
      <c r="BE118" s="175"/>
      <c r="BF118" s="175"/>
      <c r="BG118" s="175"/>
      <c r="BH118" s="175"/>
      <c r="BI118" s="175"/>
      <c r="BJ118" s="175"/>
      <c r="BK118" s="175"/>
      <c r="BL118" s="175"/>
      <c r="BM118" s="175"/>
      <c r="BN118" s="175"/>
      <c r="BO118" s="175"/>
      <c r="BP118" s="175"/>
      <c r="BQ118" s="175"/>
      <c r="BR118" s="175"/>
      <c r="BS118" s="175"/>
      <c r="BT118" s="175"/>
      <c r="BU118" s="175"/>
      <c r="BV118" s="175"/>
      <c r="BW118" s="175"/>
      <c r="BX118" s="175"/>
      <c r="BY118" s="175"/>
      <c r="BZ118" s="175"/>
      <c r="CA118" s="175"/>
      <c r="CB118" s="175"/>
      <c r="CC118" s="175"/>
      <c r="CD118" s="175"/>
      <c r="CE118" s="175"/>
      <c r="CF118" s="175"/>
      <c r="CG118" s="175"/>
      <c r="CH118" s="175"/>
      <c r="CI118" s="175"/>
      <c r="CJ118" s="175"/>
      <c r="CK118" s="175"/>
      <c r="CL118" s="175"/>
      <c r="CM118" s="175"/>
      <c r="CN118" s="175"/>
      <c r="CO118" s="175"/>
      <c r="CP118" s="175"/>
      <c r="CQ118" s="175"/>
      <c r="CR118" s="175"/>
      <c r="CS118" s="176"/>
    </row>
    <row r="119" spans="2:97" s="40" customFormat="1" ht="30.75" customHeight="1">
      <c r="B119" s="13" t="s">
        <v>735</v>
      </c>
      <c r="C119" s="3"/>
      <c r="D119" s="23">
        <f t="shared" si="14"/>
        <v>100.957</v>
      </c>
      <c r="E119" s="23">
        <f t="shared" si="15"/>
        <v>100.957</v>
      </c>
      <c r="F119" s="23">
        <v>100.957</v>
      </c>
      <c r="G119" s="23">
        <v>100.957</v>
      </c>
      <c r="H119" s="163"/>
      <c r="I119" s="3"/>
      <c r="J119" s="3"/>
      <c r="K119" s="3"/>
      <c r="L119" s="3"/>
      <c r="M119" s="164"/>
      <c r="N119" s="23">
        <v>100.957</v>
      </c>
      <c r="O119" s="23"/>
      <c r="P119" s="165"/>
      <c r="Q119" s="165"/>
      <c r="R119" s="165"/>
      <c r="S119" s="152">
        <f t="shared" si="17"/>
        <v>0</v>
      </c>
      <c r="T119" s="165"/>
      <c r="W119" s="8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75"/>
      <c r="AT119" s="175"/>
      <c r="AU119" s="175"/>
      <c r="AV119" s="175"/>
      <c r="AW119" s="175"/>
      <c r="AX119" s="175"/>
      <c r="AY119" s="175"/>
      <c r="AZ119" s="175"/>
      <c r="BA119" s="175"/>
      <c r="BB119" s="175"/>
      <c r="BC119" s="175"/>
      <c r="BD119" s="175"/>
      <c r="BE119" s="175"/>
      <c r="BF119" s="175"/>
      <c r="BG119" s="175"/>
      <c r="BH119" s="175"/>
      <c r="BI119" s="175"/>
      <c r="BJ119" s="175"/>
      <c r="BK119" s="175"/>
      <c r="BL119" s="175"/>
      <c r="BM119" s="175"/>
      <c r="BN119" s="175"/>
      <c r="BO119" s="175"/>
      <c r="BP119" s="175"/>
      <c r="BQ119" s="175"/>
      <c r="BR119" s="175"/>
      <c r="BS119" s="175"/>
      <c r="BT119" s="175"/>
      <c r="BU119" s="175"/>
      <c r="BV119" s="175"/>
      <c r="BW119" s="175"/>
      <c r="BX119" s="175"/>
      <c r="BY119" s="175"/>
      <c r="BZ119" s="175"/>
      <c r="CA119" s="175"/>
      <c r="CB119" s="175"/>
      <c r="CC119" s="175"/>
      <c r="CD119" s="175"/>
      <c r="CE119" s="175"/>
      <c r="CF119" s="175"/>
      <c r="CG119" s="175"/>
      <c r="CH119" s="175"/>
      <c r="CI119" s="175"/>
      <c r="CJ119" s="175"/>
      <c r="CK119" s="175"/>
      <c r="CL119" s="175"/>
      <c r="CM119" s="175"/>
      <c r="CN119" s="175"/>
      <c r="CO119" s="175"/>
      <c r="CP119" s="175"/>
      <c r="CQ119" s="175"/>
      <c r="CR119" s="175"/>
      <c r="CS119" s="176"/>
    </row>
    <row r="120" spans="2:97" s="40" customFormat="1" ht="30.75" customHeight="1">
      <c r="B120" s="13" t="s">
        <v>736</v>
      </c>
      <c r="C120" s="3"/>
      <c r="D120" s="23">
        <f t="shared" si="14"/>
        <v>591.224</v>
      </c>
      <c r="E120" s="23">
        <f t="shared" si="15"/>
        <v>591.224</v>
      </c>
      <c r="F120" s="8"/>
      <c r="G120" s="23"/>
      <c r="H120" s="23">
        <v>591.224</v>
      </c>
      <c r="I120" s="23">
        <v>591.224</v>
      </c>
      <c r="J120" s="3"/>
      <c r="K120" s="3"/>
      <c r="L120" s="3"/>
      <c r="M120" s="164"/>
      <c r="N120" s="23">
        <v>591.224</v>
      </c>
      <c r="O120" s="23"/>
      <c r="P120" s="165"/>
      <c r="Q120" s="165"/>
      <c r="R120" s="165"/>
      <c r="S120" s="152">
        <f t="shared" si="17"/>
        <v>0</v>
      </c>
      <c r="T120" s="165"/>
      <c r="U120" s="3"/>
      <c r="V120" s="3"/>
      <c r="W120" s="8"/>
      <c r="X120" s="175"/>
      <c r="Y120" s="175"/>
      <c r="Z120" s="175"/>
      <c r="AA120" s="175"/>
      <c r="AB120" s="175"/>
      <c r="AC120" s="175"/>
      <c r="AD120" s="175"/>
      <c r="AE120" s="175"/>
      <c r="AF120" s="175"/>
      <c r="AG120" s="175"/>
      <c r="AH120" s="175"/>
      <c r="AI120" s="175"/>
      <c r="AJ120" s="175"/>
      <c r="AK120" s="175"/>
      <c r="AL120" s="175"/>
      <c r="AM120" s="175"/>
      <c r="AN120" s="175"/>
      <c r="AO120" s="175"/>
      <c r="AP120" s="175"/>
      <c r="AQ120" s="175"/>
      <c r="AR120" s="175"/>
      <c r="AS120" s="175"/>
      <c r="AT120" s="175"/>
      <c r="AU120" s="175"/>
      <c r="AV120" s="175"/>
      <c r="AW120" s="175"/>
      <c r="AX120" s="175"/>
      <c r="AY120" s="175"/>
      <c r="AZ120" s="175"/>
      <c r="BA120" s="175"/>
      <c r="BB120" s="175"/>
      <c r="BC120" s="175"/>
      <c r="BD120" s="175"/>
      <c r="BE120" s="175"/>
      <c r="BF120" s="175"/>
      <c r="BG120" s="175"/>
      <c r="BH120" s="175"/>
      <c r="BI120" s="175"/>
      <c r="BJ120" s="175"/>
      <c r="BK120" s="175"/>
      <c r="BL120" s="175"/>
      <c r="BM120" s="175"/>
      <c r="BN120" s="175"/>
      <c r="BO120" s="175"/>
      <c r="BP120" s="175"/>
      <c r="BQ120" s="175"/>
      <c r="BR120" s="175"/>
      <c r="BS120" s="175"/>
      <c r="BT120" s="175"/>
      <c r="BU120" s="175"/>
      <c r="BV120" s="175"/>
      <c r="BW120" s="175"/>
      <c r="BX120" s="175"/>
      <c r="BY120" s="175"/>
      <c r="BZ120" s="175"/>
      <c r="CA120" s="175"/>
      <c r="CB120" s="175"/>
      <c r="CC120" s="175"/>
      <c r="CD120" s="175"/>
      <c r="CE120" s="175"/>
      <c r="CF120" s="175"/>
      <c r="CG120" s="175"/>
      <c r="CH120" s="175"/>
      <c r="CI120" s="175"/>
      <c r="CJ120" s="175"/>
      <c r="CK120" s="175"/>
      <c r="CL120" s="175"/>
      <c r="CM120" s="175"/>
      <c r="CN120" s="175"/>
      <c r="CO120" s="175"/>
      <c r="CP120" s="175"/>
      <c r="CQ120" s="175"/>
      <c r="CR120" s="175"/>
      <c r="CS120" s="176"/>
    </row>
    <row r="121" spans="2:97" s="40" customFormat="1" ht="30.75" customHeight="1">
      <c r="B121" s="13" t="s">
        <v>737</v>
      </c>
      <c r="C121" s="3"/>
      <c r="D121" s="23">
        <f t="shared" si="14"/>
        <v>660.612</v>
      </c>
      <c r="E121" s="23">
        <f t="shared" si="15"/>
        <v>660.612</v>
      </c>
      <c r="F121" s="8"/>
      <c r="G121" s="23"/>
      <c r="H121" s="23">
        <v>660.612</v>
      </c>
      <c r="I121" s="23">
        <v>660.612</v>
      </c>
      <c r="J121" s="3"/>
      <c r="K121" s="3"/>
      <c r="L121" s="3"/>
      <c r="M121" s="164"/>
      <c r="N121" s="23">
        <v>660.612</v>
      </c>
      <c r="O121" s="23"/>
      <c r="P121" s="165"/>
      <c r="Q121" s="165"/>
      <c r="R121" s="165"/>
      <c r="S121" s="152">
        <f t="shared" si="17"/>
        <v>0</v>
      </c>
      <c r="T121" s="165"/>
      <c r="U121" s="3"/>
      <c r="V121" s="3"/>
      <c r="W121" s="177"/>
      <c r="X121" s="175"/>
      <c r="Y121" s="175"/>
      <c r="Z121" s="175"/>
      <c r="AA121" s="175"/>
      <c r="AB121" s="175"/>
      <c r="AC121" s="175"/>
      <c r="AD121" s="175"/>
      <c r="AE121" s="175"/>
      <c r="AF121" s="175"/>
      <c r="AG121" s="175"/>
      <c r="AH121" s="175"/>
      <c r="AI121" s="175"/>
      <c r="AJ121" s="175"/>
      <c r="AK121" s="175"/>
      <c r="AL121" s="175"/>
      <c r="AM121" s="175"/>
      <c r="AN121" s="175"/>
      <c r="AO121" s="175"/>
      <c r="AP121" s="175"/>
      <c r="AQ121" s="175"/>
      <c r="AR121" s="175"/>
      <c r="AS121" s="175"/>
      <c r="AT121" s="175"/>
      <c r="AU121" s="175"/>
      <c r="AV121" s="175"/>
      <c r="AW121" s="175"/>
      <c r="AX121" s="175"/>
      <c r="AY121" s="175"/>
      <c r="AZ121" s="175"/>
      <c r="BA121" s="175"/>
      <c r="BB121" s="175"/>
      <c r="BC121" s="175"/>
      <c r="BD121" s="175"/>
      <c r="BE121" s="175"/>
      <c r="BF121" s="175"/>
      <c r="BG121" s="175"/>
      <c r="BH121" s="175"/>
      <c r="BI121" s="175"/>
      <c r="BJ121" s="175"/>
      <c r="BK121" s="175"/>
      <c r="BL121" s="175"/>
      <c r="BM121" s="175"/>
      <c r="BN121" s="175"/>
      <c r="BO121" s="175"/>
      <c r="BP121" s="175"/>
      <c r="BQ121" s="175"/>
      <c r="BR121" s="175"/>
      <c r="BS121" s="175"/>
      <c r="BT121" s="175"/>
      <c r="BU121" s="175"/>
      <c r="BV121" s="175"/>
      <c r="BW121" s="175"/>
      <c r="BX121" s="175"/>
      <c r="BY121" s="175"/>
      <c r="BZ121" s="175"/>
      <c r="CA121" s="175"/>
      <c r="CB121" s="175"/>
      <c r="CC121" s="175"/>
      <c r="CD121" s="175"/>
      <c r="CE121" s="175"/>
      <c r="CF121" s="175"/>
      <c r="CG121" s="175"/>
      <c r="CH121" s="175"/>
      <c r="CI121" s="175"/>
      <c r="CJ121" s="175"/>
      <c r="CK121" s="175"/>
      <c r="CL121" s="175"/>
      <c r="CM121" s="175"/>
      <c r="CN121" s="175"/>
      <c r="CO121" s="175"/>
      <c r="CP121" s="175"/>
      <c r="CQ121" s="175"/>
      <c r="CR121" s="175"/>
      <c r="CS121" s="176"/>
    </row>
    <row r="122" spans="2:97" s="40" customFormat="1" ht="42" customHeight="1">
      <c r="B122" s="13" t="s">
        <v>738</v>
      </c>
      <c r="C122" s="3"/>
      <c r="D122" s="23">
        <f t="shared" si="14"/>
        <v>233.22</v>
      </c>
      <c r="E122" s="23">
        <f t="shared" si="15"/>
        <v>262.356</v>
      </c>
      <c r="F122" s="8"/>
      <c r="G122" s="23"/>
      <c r="H122" s="34"/>
      <c r="I122" s="23"/>
      <c r="J122" s="167">
        <f>213.22+20</f>
        <v>233.22</v>
      </c>
      <c r="K122" s="167">
        <f>213.22</f>
        <v>213.22</v>
      </c>
      <c r="L122" s="3"/>
      <c r="M122" s="141">
        <v>49.136</v>
      </c>
      <c r="N122" s="23">
        <f>E122</f>
        <v>262.356</v>
      </c>
      <c r="O122" s="23"/>
      <c r="P122" s="165"/>
      <c r="Q122" s="165"/>
      <c r="R122" s="165"/>
      <c r="S122" s="152">
        <f t="shared" si="17"/>
        <v>-29.135999999999996</v>
      </c>
      <c r="T122" s="165"/>
      <c r="U122" s="3"/>
      <c r="V122" s="3"/>
      <c r="W122" s="8" t="s">
        <v>719</v>
      </c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5"/>
      <c r="AN122" s="175"/>
      <c r="AO122" s="175"/>
      <c r="AP122" s="175"/>
      <c r="AQ122" s="175"/>
      <c r="AR122" s="175"/>
      <c r="AS122" s="175"/>
      <c r="AT122" s="175"/>
      <c r="AU122" s="175"/>
      <c r="AV122" s="175"/>
      <c r="AW122" s="175"/>
      <c r="AX122" s="175"/>
      <c r="AY122" s="175"/>
      <c r="AZ122" s="175"/>
      <c r="BA122" s="175"/>
      <c r="BB122" s="175"/>
      <c r="BC122" s="175"/>
      <c r="BD122" s="175"/>
      <c r="BE122" s="175"/>
      <c r="BF122" s="175"/>
      <c r="BG122" s="175"/>
      <c r="BH122" s="175"/>
      <c r="BI122" s="175"/>
      <c r="BJ122" s="175"/>
      <c r="BK122" s="175"/>
      <c r="BL122" s="175"/>
      <c r="BM122" s="175"/>
      <c r="BN122" s="175"/>
      <c r="BO122" s="175"/>
      <c r="BP122" s="175"/>
      <c r="BQ122" s="175"/>
      <c r="BR122" s="175"/>
      <c r="BS122" s="175"/>
      <c r="BT122" s="175"/>
      <c r="BU122" s="175"/>
      <c r="BV122" s="175"/>
      <c r="BW122" s="175"/>
      <c r="BX122" s="175"/>
      <c r="BY122" s="175"/>
      <c r="BZ122" s="175"/>
      <c r="CA122" s="175"/>
      <c r="CB122" s="175"/>
      <c r="CC122" s="175"/>
      <c r="CD122" s="175"/>
      <c r="CE122" s="175"/>
      <c r="CF122" s="175"/>
      <c r="CG122" s="175"/>
      <c r="CH122" s="175"/>
      <c r="CI122" s="175"/>
      <c r="CJ122" s="175"/>
      <c r="CK122" s="175"/>
      <c r="CL122" s="175"/>
      <c r="CM122" s="175"/>
      <c r="CN122" s="175"/>
      <c r="CO122" s="175"/>
      <c r="CP122" s="175"/>
      <c r="CQ122" s="175"/>
      <c r="CR122" s="175"/>
      <c r="CS122" s="176"/>
    </row>
    <row r="123" spans="2:97" s="40" customFormat="1" ht="42" customHeight="1">
      <c r="B123" s="13" t="s">
        <v>739</v>
      </c>
      <c r="C123" s="3"/>
      <c r="D123" s="23">
        <f t="shared" si="14"/>
        <v>123.311</v>
      </c>
      <c r="E123" s="23">
        <f t="shared" si="15"/>
        <v>128.643</v>
      </c>
      <c r="F123" s="8"/>
      <c r="G123" s="23"/>
      <c r="H123" s="34"/>
      <c r="I123" s="23"/>
      <c r="J123" s="167">
        <f>103.311+20</f>
        <v>123.311</v>
      </c>
      <c r="K123" s="167">
        <f>103.311</f>
        <v>103.311</v>
      </c>
      <c r="L123" s="3"/>
      <c r="M123" s="141">
        <v>25.332</v>
      </c>
      <c r="N123" s="23">
        <f>E123</f>
        <v>128.643</v>
      </c>
      <c r="O123" s="23"/>
      <c r="P123" s="165"/>
      <c r="Q123" s="165"/>
      <c r="R123" s="165"/>
      <c r="S123" s="152">
        <f t="shared" si="17"/>
        <v>-5.331999999999994</v>
      </c>
      <c r="T123" s="165"/>
      <c r="U123" s="3"/>
      <c r="V123" s="3"/>
      <c r="W123" s="8" t="s">
        <v>740</v>
      </c>
      <c r="X123" s="175"/>
      <c r="Y123" s="175"/>
      <c r="Z123" s="175"/>
      <c r="AA123" s="175"/>
      <c r="AB123" s="175"/>
      <c r="AC123" s="175"/>
      <c r="AD123" s="175"/>
      <c r="AE123" s="175"/>
      <c r="AF123" s="175"/>
      <c r="AG123" s="175"/>
      <c r="AH123" s="175"/>
      <c r="AI123" s="175"/>
      <c r="AJ123" s="175"/>
      <c r="AK123" s="175"/>
      <c r="AL123" s="175"/>
      <c r="AM123" s="175"/>
      <c r="AN123" s="175"/>
      <c r="AO123" s="175"/>
      <c r="AP123" s="175"/>
      <c r="AQ123" s="175"/>
      <c r="AR123" s="175"/>
      <c r="AS123" s="175"/>
      <c r="AT123" s="175"/>
      <c r="AU123" s="175"/>
      <c r="AV123" s="175"/>
      <c r="AW123" s="175"/>
      <c r="AX123" s="175"/>
      <c r="AY123" s="175"/>
      <c r="AZ123" s="175"/>
      <c r="BA123" s="175"/>
      <c r="BB123" s="175"/>
      <c r="BC123" s="175"/>
      <c r="BD123" s="175"/>
      <c r="BE123" s="175"/>
      <c r="BF123" s="175"/>
      <c r="BG123" s="175"/>
      <c r="BH123" s="175"/>
      <c r="BI123" s="175"/>
      <c r="BJ123" s="175"/>
      <c r="BK123" s="175"/>
      <c r="BL123" s="175"/>
      <c r="BM123" s="175"/>
      <c r="BN123" s="175"/>
      <c r="BO123" s="175"/>
      <c r="BP123" s="175"/>
      <c r="BQ123" s="175"/>
      <c r="BR123" s="175"/>
      <c r="BS123" s="175"/>
      <c r="BT123" s="175"/>
      <c r="BU123" s="175"/>
      <c r="BV123" s="175"/>
      <c r="BW123" s="175"/>
      <c r="BX123" s="175"/>
      <c r="BY123" s="175"/>
      <c r="BZ123" s="175"/>
      <c r="CA123" s="175"/>
      <c r="CB123" s="175"/>
      <c r="CC123" s="175"/>
      <c r="CD123" s="175"/>
      <c r="CE123" s="175"/>
      <c r="CF123" s="175"/>
      <c r="CG123" s="175"/>
      <c r="CH123" s="175"/>
      <c r="CI123" s="175"/>
      <c r="CJ123" s="175"/>
      <c r="CK123" s="175"/>
      <c r="CL123" s="175"/>
      <c r="CM123" s="175"/>
      <c r="CN123" s="175"/>
      <c r="CO123" s="175"/>
      <c r="CP123" s="175"/>
      <c r="CQ123" s="175"/>
      <c r="CR123" s="175"/>
      <c r="CS123" s="176"/>
    </row>
    <row r="124" spans="2:97" s="40" customFormat="1" ht="42" customHeight="1">
      <c r="B124" s="13" t="s">
        <v>741</v>
      </c>
      <c r="C124" s="3"/>
      <c r="D124" s="23">
        <f t="shared" si="14"/>
        <v>433.21999999999997</v>
      </c>
      <c r="E124" s="23">
        <f t="shared" si="15"/>
        <v>490.385</v>
      </c>
      <c r="F124" s="8"/>
      <c r="G124" s="23"/>
      <c r="H124" s="34"/>
      <c r="I124" s="23"/>
      <c r="J124" s="167">
        <f>403.89+29.33</f>
        <v>433.21999999999997</v>
      </c>
      <c r="K124" s="167">
        <v>403.89</v>
      </c>
      <c r="L124" s="3"/>
      <c r="M124" s="141">
        <v>86.495</v>
      </c>
      <c r="N124" s="23">
        <f>E124</f>
        <v>490.385</v>
      </c>
      <c r="O124" s="23"/>
      <c r="P124" s="165"/>
      <c r="Q124" s="165"/>
      <c r="R124" s="165"/>
      <c r="S124" s="152">
        <f t="shared" si="17"/>
        <v>-57.16500000000002</v>
      </c>
      <c r="T124" s="165"/>
      <c r="U124" s="3"/>
      <c r="V124" s="3"/>
      <c r="W124" s="8" t="s">
        <v>740</v>
      </c>
      <c r="X124" s="175"/>
      <c r="Y124" s="175"/>
      <c r="Z124" s="175"/>
      <c r="AA124" s="175"/>
      <c r="AB124" s="175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75"/>
      <c r="AV124" s="175"/>
      <c r="AW124" s="175"/>
      <c r="AX124" s="175"/>
      <c r="AY124" s="175"/>
      <c r="AZ124" s="175"/>
      <c r="BA124" s="175"/>
      <c r="BB124" s="175"/>
      <c r="BC124" s="175"/>
      <c r="BD124" s="175"/>
      <c r="BE124" s="175"/>
      <c r="BF124" s="175"/>
      <c r="BG124" s="175"/>
      <c r="BH124" s="175"/>
      <c r="BI124" s="175"/>
      <c r="BJ124" s="175"/>
      <c r="BK124" s="175"/>
      <c r="BL124" s="175"/>
      <c r="BM124" s="175"/>
      <c r="BN124" s="175"/>
      <c r="BO124" s="175"/>
      <c r="BP124" s="175"/>
      <c r="BQ124" s="175"/>
      <c r="BR124" s="175"/>
      <c r="BS124" s="175"/>
      <c r="BT124" s="175"/>
      <c r="BU124" s="175"/>
      <c r="BV124" s="175"/>
      <c r="BW124" s="175"/>
      <c r="BX124" s="175"/>
      <c r="BY124" s="175"/>
      <c r="BZ124" s="175"/>
      <c r="CA124" s="175"/>
      <c r="CB124" s="175"/>
      <c r="CC124" s="175"/>
      <c r="CD124" s="175"/>
      <c r="CE124" s="175"/>
      <c r="CF124" s="175"/>
      <c r="CG124" s="175"/>
      <c r="CH124" s="175"/>
      <c r="CI124" s="175"/>
      <c r="CJ124" s="175"/>
      <c r="CK124" s="175"/>
      <c r="CL124" s="175"/>
      <c r="CM124" s="175"/>
      <c r="CN124" s="175"/>
      <c r="CO124" s="175"/>
      <c r="CP124" s="175"/>
      <c r="CQ124" s="175"/>
      <c r="CR124" s="175"/>
      <c r="CS124" s="176"/>
    </row>
    <row r="125" spans="2:97" s="40" customFormat="1" ht="47.25" customHeight="1">
      <c r="B125" s="13" t="s">
        <v>742</v>
      </c>
      <c r="C125" s="3"/>
      <c r="D125" s="23">
        <f t="shared" si="14"/>
        <v>962.801</v>
      </c>
      <c r="E125" s="23">
        <f t="shared" si="15"/>
        <v>962.8009999999999</v>
      </c>
      <c r="F125" s="8"/>
      <c r="G125" s="23"/>
      <c r="H125" s="34"/>
      <c r="I125" s="23"/>
      <c r="J125" s="167">
        <v>962.801</v>
      </c>
      <c r="K125" s="167">
        <f>850.501</f>
        <v>850.501</v>
      </c>
      <c r="L125" s="3"/>
      <c r="M125" s="141">
        <v>112.3</v>
      </c>
      <c r="N125" s="23">
        <f>E125</f>
        <v>962.8009999999999</v>
      </c>
      <c r="O125" s="23"/>
      <c r="P125" s="165"/>
      <c r="Q125" s="165"/>
      <c r="R125" s="165"/>
      <c r="S125" s="152">
        <f t="shared" si="17"/>
        <v>0</v>
      </c>
      <c r="T125" s="165"/>
      <c r="U125" s="3"/>
      <c r="V125" s="3"/>
      <c r="W125" s="177"/>
      <c r="X125" s="175"/>
      <c r="Y125" s="175"/>
      <c r="Z125" s="175"/>
      <c r="AA125" s="175"/>
      <c r="AB125" s="175"/>
      <c r="AC125" s="175"/>
      <c r="AD125" s="175"/>
      <c r="AE125" s="175"/>
      <c r="AF125" s="175"/>
      <c r="AG125" s="175"/>
      <c r="AH125" s="175"/>
      <c r="AI125" s="175"/>
      <c r="AJ125" s="175"/>
      <c r="AK125" s="175"/>
      <c r="AL125" s="175"/>
      <c r="AM125" s="175"/>
      <c r="AN125" s="175"/>
      <c r="AO125" s="175"/>
      <c r="AP125" s="175"/>
      <c r="AQ125" s="175"/>
      <c r="AR125" s="175"/>
      <c r="AS125" s="175"/>
      <c r="AT125" s="175"/>
      <c r="AU125" s="175"/>
      <c r="AV125" s="175"/>
      <c r="AW125" s="175"/>
      <c r="AX125" s="175"/>
      <c r="AY125" s="175"/>
      <c r="AZ125" s="175"/>
      <c r="BA125" s="175"/>
      <c r="BB125" s="175"/>
      <c r="BC125" s="175"/>
      <c r="BD125" s="175"/>
      <c r="BE125" s="175"/>
      <c r="BF125" s="175"/>
      <c r="BG125" s="175"/>
      <c r="BH125" s="175"/>
      <c r="BI125" s="175"/>
      <c r="BJ125" s="175"/>
      <c r="BK125" s="175"/>
      <c r="BL125" s="175"/>
      <c r="BM125" s="175"/>
      <c r="BN125" s="175"/>
      <c r="BO125" s="175"/>
      <c r="BP125" s="175"/>
      <c r="BQ125" s="175"/>
      <c r="BR125" s="175"/>
      <c r="BS125" s="175"/>
      <c r="BT125" s="175"/>
      <c r="BU125" s="175"/>
      <c r="BV125" s="175"/>
      <c r="BW125" s="175"/>
      <c r="BX125" s="175"/>
      <c r="BY125" s="175"/>
      <c r="BZ125" s="175"/>
      <c r="CA125" s="175"/>
      <c r="CB125" s="175"/>
      <c r="CC125" s="175"/>
      <c r="CD125" s="175"/>
      <c r="CE125" s="175"/>
      <c r="CF125" s="175"/>
      <c r="CG125" s="175"/>
      <c r="CH125" s="175"/>
      <c r="CI125" s="175"/>
      <c r="CJ125" s="175"/>
      <c r="CK125" s="175"/>
      <c r="CL125" s="175"/>
      <c r="CM125" s="175"/>
      <c r="CN125" s="175"/>
      <c r="CO125" s="175"/>
      <c r="CP125" s="175"/>
      <c r="CQ125" s="175"/>
      <c r="CR125" s="175"/>
      <c r="CS125" s="176"/>
    </row>
    <row r="126" spans="2:97" s="40" customFormat="1" ht="47.25" customHeight="1">
      <c r="B126" s="13" t="s">
        <v>743</v>
      </c>
      <c r="C126" s="3"/>
      <c r="D126" s="23">
        <f t="shared" si="14"/>
        <v>853.309</v>
      </c>
      <c r="E126" s="23">
        <f t="shared" si="15"/>
        <v>883.529</v>
      </c>
      <c r="F126" s="8"/>
      <c r="G126" s="23"/>
      <c r="H126" s="34"/>
      <c r="I126" s="23"/>
      <c r="J126" s="167"/>
      <c r="K126" s="167"/>
      <c r="L126" s="8">
        <v>853.309</v>
      </c>
      <c r="M126" s="141">
        <f>767.329+116.2</f>
        <v>883.529</v>
      </c>
      <c r="N126" s="23">
        <f>E126</f>
        <v>883.529</v>
      </c>
      <c r="O126" s="23"/>
      <c r="P126" s="165"/>
      <c r="Q126" s="165"/>
      <c r="R126" s="165"/>
      <c r="S126" s="152">
        <f>L126-M126</f>
        <v>-30.220000000000027</v>
      </c>
      <c r="T126" s="165"/>
      <c r="U126" s="3"/>
      <c r="V126" s="3"/>
      <c r="W126" s="8" t="s">
        <v>740</v>
      </c>
      <c r="X126" s="175"/>
      <c r="Y126" s="175"/>
      <c r="Z126" s="175"/>
      <c r="AA126" s="175"/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5"/>
      <c r="AL126" s="175"/>
      <c r="AM126" s="175"/>
      <c r="AN126" s="175"/>
      <c r="AO126" s="175"/>
      <c r="AP126" s="175"/>
      <c r="AQ126" s="175"/>
      <c r="AR126" s="175"/>
      <c r="AS126" s="175"/>
      <c r="AT126" s="175"/>
      <c r="AU126" s="175"/>
      <c r="AV126" s="175"/>
      <c r="AW126" s="175"/>
      <c r="AX126" s="175"/>
      <c r="AY126" s="175"/>
      <c r="AZ126" s="175"/>
      <c r="BA126" s="175"/>
      <c r="BB126" s="175"/>
      <c r="BC126" s="175"/>
      <c r="BD126" s="175"/>
      <c r="BE126" s="175"/>
      <c r="BF126" s="175"/>
      <c r="BG126" s="175"/>
      <c r="BH126" s="175"/>
      <c r="BI126" s="175"/>
      <c r="BJ126" s="175"/>
      <c r="BK126" s="175"/>
      <c r="BL126" s="175"/>
      <c r="BM126" s="175"/>
      <c r="BN126" s="175"/>
      <c r="BO126" s="175"/>
      <c r="BP126" s="175"/>
      <c r="BQ126" s="175"/>
      <c r="BR126" s="175"/>
      <c r="BS126" s="175"/>
      <c r="BT126" s="175"/>
      <c r="BU126" s="175"/>
      <c r="BV126" s="175"/>
      <c r="BW126" s="175"/>
      <c r="BX126" s="175"/>
      <c r="BY126" s="175"/>
      <c r="BZ126" s="175"/>
      <c r="CA126" s="175"/>
      <c r="CB126" s="175"/>
      <c r="CC126" s="175"/>
      <c r="CD126" s="175"/>
      <c r="CE126" s="175"/>
      <c r="CF126" s="175"/>
      <c r="CG126" s="175"/>
      <c r="CH126" s="175"/>
      <c r="CI126" s="175"/>
      <c r="CJ126" s="175"/>
      <c r="CK126" s="175"/>
      <c r="CL126" s="175"/>
      <c r="CM126" s="175"/>
      <c r="CN126" s="175"/>
      <c r="CO126" s="175"/>
      <c r="CP126" s="175"/>
      <c r="CQ126" s="175"/>
      <c r="CR126" s="175"/>
      <c r="CS126" s="176"/>
    </row>
    <row r="127" spans="1:96" s="181" customFormat="1" ht="28.5" customHeight="1">
      <c r="A127" s="178"/>
      <c r="B127" s="40" t="s">
        <v>121</v>
      </c>
      <c r="C127" s="179"/>
      <c r="D127" s="24">
        <f t="shared" si="14"/>
        <v>1456.5610000000001</v>
      </c>
      <c r="E127" s="24">
        <f t="shared" si="15"/>
        <v>1480.7250000000001</v>
      </c>
      <c r="F127" s="3">
        <v>0</v>
      </c>
      <c r="G127" s="3">
        <v>0</v>
      </c>
      <c r="H127" s="163">
        <f aca="true" t="shared" si="18" ref="H127:N127">H128+H129+H130+H131+H132+H133</f>
        <v>683.899</v>
      </c>
      <c r="I127" s="24">
        <f t="shared" si="18"/>
        <v>683.899</v>
      </c>
      <c r="J127" s="163">
        <f t="shared" si="18"/>
        <v>772.662</v>
      </c>
      <c r="K127" s="24">
        <f t="shared" si="18"/>
        <v>634.3050000000001</v>
      </c>
      <c r="L127" s="163">
        <f t="shared" si="18"/>
        <v>0</v>
      </c>
      <c r="M127" s="24">
        <f t="shared" si="18"/>
        <v>162.521</v>
      </c>
      <c r="N127" s="24">
        <f t="shared" si="18"/>
        <v>1480.725</v>
      </c>
      <c r="O127" s="24"/>
      <c r="P127" s="165"/>
      <c r="Q127" s="165"/>
      <c r="R127" s="165"/>
      <c r="S127" s="24">
        <f>S128+S129+S130+S131+S132+S133</f>
        <v>-24.164000000000073</v>
      </c>
      <c r="T127" s="165"/>
      <c r="U127" s="40"/>
      <c r="V127" s="40"/>
      <c r="W127" s="40"/>
      <c r="X127" s="175"/>
      <c r="Y127" s="180"/>
      <c r="Z127" s="180"/>
      <c r="AA127" s="180"/>
      <c r="AB127" s="180"/>
      <c r="AC127" s="180"/>
      <c r="AD127" s="180"/>
      <c r="AE127" s="180"/>
      <c r="AF127" s="180"/>
      <c r="AG127" s="180"/>
      <c r="AH127" s="180"/>
      <c r="AI127" s="180"/>
      <c r="AJ127" s="180"/>
      <c r="AK127" s="180"/>
      <c r="AL127" s="180"/>
      <c r="AM127" s="180"/>
      <c r="AN127" s="180"/>
      <c r="AO127" s="180"/>
      <c r="AP127" s="180"/>
      <c r="AQ127" s="180"/>
      <c r="AR127" s="180"/>
      <c r="AS127" s="180"/>
      <c r="AT127" s="180"/>
      <c r="AU127" s="180"/>
      <c r="AV127" s="180"/>
      <c r="AW127" s="180"/>
      <c r="AX127" s="180"/>
      <c r="AY127" s="180"/>
      <c r="AZ127" s="180"/>
      <c r="BA127" s="180"/>
      <c r="BB127" s="180"/>
      <c r="BC127" s="180"/>
      <c r="BD127" s="180"/>
      <c r="BE127" s="180"/>
      <c r="BF127" s="180"/>
      <c r="BG127" s="180"/>
      <c r="BH127" s="180"/>
      <c r="BI127" s="180"/>
      <c r="BJ127" s="180"/>
      <c r="BK127" s="180"/>
      <c r="BL127" s="180"/>
      <c r="BM127" s="180"/>
      <c r="BN127" s="180"/>
      <c r="BO127" s="180"/>
      <c r="BP127" s="180"/>
      <c r="BQ127" s="180"/>
      <c r="BR127" s="180"/>
      <c r="BS127" s="180"/>
      <c r="BT127" s="180"/>
      <c r="BU127" s="180"/>
      <c r="BV127" s="180"/>
      <c r="BW127" s="180"/>
      <c r="BX127" s="180"/>
      <c r="BY127" s="180"/>
      <c r="BZ127" s="180"/>
      <c r="CA127" s="180"/>
      <c r="CB127" s="180"/>
      <c r="CC127" s="180"/>
      <c r="CD127" s="180"/>
      <c r="CE127" s="180"/>
      <c r="CF127" s="180"/>
      <c r="CG127" s="180"/>
      <c r="CH127" s="180"/>
      <c r="CI127" s="180"/>
      <c r="CJ127" s="180"/>
      <c r="CK127" s="180"/>
      <c r="CL127" s="180"/>
      <c r="CM127" s="180"/>
      <c r="CN127" s="180"/>
      <c r="CO127" s="180"/>
      <c r="CP127" s="180"/>
      <c r="CQ127" s="180"/>
      <c r="CR127" s="180"/>
    </row>
    <row r="128" spans="1:96" s="181" customFormat="1" ht="41.25" customHeight="1">
      <c r="A128" s="178"/>
      <c r="B128" s="154" t="s">
        <v>744</v>
      </c>
      <c r="C128" s="182"/>
      <c r="D128" s="23">
        <f t="shared" si="14"/>
        <v>233.907</v>
      </c>
      <c r="E128" s="23">
        <f t="shared" si="15"/>
        <v>233.907</v>
      </c>
      <c r="F128" s="8"/>
      <c r="G128" s="8"/>
      <c r="H128" s="23">
        <v>233.907</v>
      </c>
      <c r="I128" s="23">
        <v>233.907</v>
      </c>
      <c r="J128" s="8"/>
      <c r="K128" s="8"/>
      <c r="L128" s="8"/>
      <c r="M128" s="141"/>
      <c r="N128" s="23">
        <v>233.907</v>
      </c>
      <c r="O128" s="23"/>
      <c r="P128" s="165"/>
      <c r="Q128" s="165"/>
      <c r="R128" s="165"/>
      <c r="S128" s="153">
        <f aca="true" t="shared" si="19" ref="S128:S135">D128-E128</f>
        <v>0</v>
      </c>
      <c r="T128" s="165"/>
      <c r="U128" s="40"/>
      <c r="V128" s="40"/>
      <c r="W128" s="177"/>
      <c r="X128" s="175"/>
      <c r="Y128" s="180"/>
      <c r="Z128" s="180"/>
      <c r="AA128" s="180"/>
      <c r="AB128" s="180"/>
      <c r="AC128" s="180"/>
      <c r="AD128" s="180"/>
      <c r="AE128" s="180"/>
      <c r="AF128" s="180"/>
      <c r="AG128" s="180"/>
      <c r="AH128" s="180"/>
      <c r="AI128" s="180"/>
      <c r="AJ128" s="180"/>
      <c r="AK128" s="180"/>
      <c r="AL128" s="180"/>
      <c r="AM128" s="180"/>
      <c r="AN128" s="180"/>
      <c r="AO128" s="180"/>
      <c r="AP128" s="180"/>
      <c r="AQ128" s="180"/>
      <c r="AR128" s="180"/>
      <c r="AS128" s="180"/>
      <c r="AT128" s="180"/>
      <c r="AU128" s="180"/>
      <c r="AV128" s="180"/>
      <c r="AW128" s="180"/>
      <c r="AX128" s="180"/>
      <c r="AY128" s="180"/>
      <c r="AZ128" s="180"/>
      <c r="BA128" s="180"/>
      <c r="BB128" s="180"/>
      <c r="BC128" s="180"/>
      <c r="BD128" s="180"/>
      <c r="BE128" s="180"/>
      <c r="BF128" s="180"/>
      <c r="BG128" s="180"/>
      <c r="BH128" s="180"/>
      <c r="BI128" s="180"/>
      <c r="BJ128" s="180"/>
      <c r="BK128" s="180"/>
      <c r="BL128" s="180"/>
      <c r="BM128" s="180"/>
      <c r="BN128" s="180"/>
      <c r="BO128" s="180"/>
      <c r="BP128" s="180"/>
      <c r="BQ128" s="180"/>
      <c r="BR128" s="180"/>
      <c r="BS128" s="180"/>
      <c r="BT128" s="180"/>
      <c r="BU128" s="180"/>
      <c r="BV128" s="180"/>
      <c r="BW128" s="180"/>
      <c r="BX128" s="180"/>
      <c r="BY128" s="180"/>
      <c r="BZ128" s="180"/>
      <c r="CA128" s="180"/>
      <c r="CB128" s="180"/>
      <c r="CC128" s="180"/>
      <c r="CD128" s="180"/>
      <c r="CE128" s="180"/>
      <c r="CF128" s="180"/>
      <c r="CG128" s="180"/>
      <c r="CH128" s="180"/>
      <c r="CI128" s="180"/>
      <c r="CJ128" s="180"/>
      <c r="CK128" s="180"/>
      <c r="CL128" s="180"/>
      <c r="CM128" s="180"/>
      <c r="CN128" s="180"/>
      <c r="CO128" s="180"/>
      <c r="CP128" s="180"/>
      <c r="CQ128" s="180"/>
      <c r="CR128" s="180"/>
    </row>
    <row r="129" spans="1:96" s="181" customFormat="1" ht="41.25" customHeight="1">
      <c r="A129" s="178"/>
      <c r="B129" s="154" t="s">
        <v>745</v>
      </c>
      <c r="C129" s="182"/>
      <c r="D129" s="23">
        <f t="shared" si="14"/>
        <v>144.468</v>
      </c>
      <c r="E129" s="23">
        <f t="shared" si="15"/>
        <v>144.468</v>
      </c>
      <c r="F129" s="8"/>
      <c r="G129" s="8"/>
      <c r="H129" s="23">
        <v>144.468</v>
      </c>
      <c r="I129" s="23">
        <v>144.468</v>
      </c>
      <c r="J129" s="8"/>
      <c r="K129" s="8"/>
      <c r="L129" s="8"/>
      <c r="M129" s="141"/>
      <c r="N129" s="23">
        <v>144.468</v>
      </c>
      <c r="O129" s="23"/>
      <c r="P129" s="165"/>
      <c r="Q129" s="165"/>
      <c r="R129" s="165"/>
      <c r="S129" s="153">
        <f t="shared" si="19"/>
        <v>0</v>
      </c>
      <c r="T129" s="165"/>
      <c r="U129" s="40"/>
      <c r="V129" s="40"/>
      <c r="W129" s="177"/>
      <c r="X129" s="175"/>
      <c r="Y129" s="180"/>
      <c r="Z129" s="180"/>
      <c r="AA129" s="180"/>
      <c r="AB129" s="180"/>
      <c r="AC129" s="180"/>
      <c r="AD129" s="180"/>
      <c r="AE129" s="180"/>
      <c r="AF129" s="180"/>
      <c r="AG129" s="180"/>
      <c r="AH129" s="180"/>
      <c r="AI129" s="180"/>
      <c r="AJ129" s="180"/>
      <c r="AK129" s="180"/>
      <c r="AL129" s="180"/>
      <c r="AM129" s="180"/>
      <c r="AN129" s="180"/>
      <c r="AO129" s="180"/>
      <c r="AP129" s="180"/>
      <c r="AQ129" s="180"/>
      <c r="AR129" s="180"/>
      <c r="AS129" s="180"/>
      <c r="AT129" s="180"/>
      <c r="AU129" s="180"/>
      <c r="AV129" s="180"/>
      <c r="AW129" s="180"/>
      <c r="AX129" s="180"/>
      <c r="AY129" s="180"/>
      <c r="AZ129" s="180"/>
      <c r="BA129" s="180"/>
      <c r="BB129" s="180"/>
      <c r="BC129" s="180"/>
      <c r="BD129" s="180"/>
      <c r="BE129" s="180"/>
      <c r="BF129" s="180"/>
      <c r="BG129" s="180"/>
      <c r="BH129" s="180"/>
      <c r="BI129" s="180"/>
      <c r="BJ129" s="180"/>
      <c r="BK129" s="180"/>
      <c r="BL129" s="180"/>
      <c r="BM129" s="180"/>
      <c r="BN129" s="180"/>
      <c r="BO129" s="180"/>
      <c r="BP129" s="180"/>
      <c r="BQ129" s="180"/>
      <c r="BR129" s="180"/>
      <c r="BS129" s="180"/>
      <c r="BT129" s="180"/>
      <c r="BU129" s="180"/>
      <c r="BV129" s="180"/>
      <c r="BW129" s="180"/>
      <c r="BX129" s="180"/>
      <c r="BY129" s="180"/>
      <c r="BZ129" s="180"/>
      <c r="CA129" s="180"/>
      <c r="CB129" s="180"/>
      <c r="CC129" s="180"/>
      <c r="CD129" s="180"/>
      <c r="CE129" s="180"/>
      <c r="CF129" s="180"/>
      <c r="CG129" s="180"/>
      <c r="CH129" s="180"/>
      <c r="CI129" s="180"/>
      <c r="CJ129" s="180"/>
      <c r="CK129" s="180"/>
      <c r="CL129" s="180"/>
      <c r="CM129" s="180"/>
      <c r="CN129" s="180"/>
      <c r="CO129" s="180"/>
      <c r="CP129" s="180"/>
      <c r="CQ129" s="180"/>
      <c r="CR129" s="180"/>
    </row>
    <row r="130" spans="1:96" s="181" customFormat="1" ht="41.25" customHeight="1">
      <c r="A130" s="178"/>
      <c r="B130" s="154" t="s">
        <v>746</v>
      </c>
      <c r="C130" s="182"/>
      <c r="D130" s="23">
        <f t="shared" si="14"/>
        <v>186</v>
      </c>
      <c r="E130" s="23">
        <f t="shared" si="15"/>
        <v>186</v>
      </c>
      <c r="F130" s="8"/>
      <c r="G130" s="8"/>
      <c r="H130" s="23">
        <v>186</v>
      </c>
      <c r="I130" s="23">
        <v>186</v>
      </c>
      <c r="J130" s="8"/>
      <c r="K130" s="8"/>
      <c r="L130" s="8"/>
      <c r="M130" s="141"/>
      <c r="N130" s="23">
        <v>186</v>
      </c>
      <c r="O130" s="23"/>
      <c r="P130" s="165"/>
      <c r="Q130" s="165"/>
      <c r="R130" s="165"/>
      <c r="S130" s="153">
        <f t="shared" si="19"/>
        <v>0</v>
      </c>
      <c r="T130" s="165"/>
      <c r="U130" s="40"/>
      <c r="V130" s="40"/>
      <c r="W130" s="177"/>
      <c r="X130" s="175"/>
      <c r="Y130" s="180"/>
      <c r="Z130" s="180"/>
      <c r="AA130" s="180"/>
      <c r="AB130" s="180"/>
      <c r="AC130" s="180"/>
      <c r="AD130" s="180"/>
      <c r="AE130" s="180"/>
      <c r="AF130" s="180"/>
      <c r="AG130" s="180"/>
      <c r="AH130" s="180"/>
      <c r="AI130" s="180"/>
      <c r="AJ130" s="180"/>
      <c r="AK130" s="180"/>
      <c r="AL130" s="180"/>
      <c r="AM130" s="180"/>
      <c r="AN130" s="180"/>
      <c r="AO130" s="180"/>
      <c r="AP130" s="180"/>
      <c r="AQ130" s="180"/>
      <c r="AR130" s="180"/>
      <c r="AS130" s="180"/>
      <c r="AT130" s="180"/>
      <c r="AU130" s="180"/>
      <c r="AV130" s="180"/>
      <c r="AW130" s="180"/>
      <c r="AX130" s="180"/>
      <c r="AY130" s="180"/>
      <c r="AZ130" s="180"/>
      <c r="BA130" s="180"/>
      <c r="BB130" s="180"/>
      <c r="BC130" s="180"/>
      <c r="BD130" s="180"/>
      <c r="BE130" s="180"/>
      <c r="BF130" s="180"/>
      <c r="BG130" s="180"/>
      <c r="BH130" s="180"/>
      <c r="BI130" s="180"/>
      <c r="BJ130" s="180"/>
      <c r="BK130" s="180"/>
      <c r="BL130" s="180"/>
      <c r="BM130" s="180"/>
      <c r="BN130" s="180"/>
      <c r="BO130" s="180"/>
      <c r="BP130" s="180"/>
      <c r="BQ130" s="180"/>
      <c r="BR130" s="180"/>
      <c r="BS130" s="180"/>
      <c r="BT130" s="180"/>
      <c r="BU130" s="180"/>
      <c r="BV130" s="180"/>
      <c r="BW130" s="180"/>
      <c r="BX130" s="180"/>
      <c r="BY130" s="180"/>
      <c r="BZ130" s="180"/>
      <c r="CA130" s="180"/>
      <c r="CB130" s="180"/>
      <c r="CC130" s="180"/>
      <c r="CD130" s="180"/>
      <c r="CE130" s="180"/>
      <c r="CF130" s="180"/>
      <c r="CG130" s="180"/>
      <c r="CH130" s="180"/>
      <c r="CI130" s="180"/>
      <c r="CJ130" s="180"/>
      <c r="CK130" s="180"/>
      <c r="CL130" s="180"/>
      <c r="CM130" s="180"/>
      <c r="CN130" s="180"/>
      <c r="CO130" s="180"/>
      <c r="CP130" s="180"/>
      <c r="CQ130" s="180"/>
      <c r="CR130" s="180"/>
    </row>
    <row r="131" spans="1:96" s="181" customFormat="1" ht="33" customHeight="1">
      <c r="A131" s="178"/>
      <c r="B131" s="154" t="s">
        <v>747</v>
      </c>
      <c r="C131" s="182"/>
      <c r="D131" s="23">
        <f t="shared" si="14"/>
        <v>119.524</v>
      </c>
      <c r="E131" s="23">
        <f t="shared" si="15"/>
        <v>119.524</v>
      </c>
      <c r="F131" s="8"/>
      <c r="G131" s="8"/>
      <c r="H131" s="23">
        <v>119.524</v>
      </c>
      <c r="I131" s="23">
        <v>119.524</v>
      </c>
      <c r="J131" s="8"/>
      <c r="K131" s="8"/>
      <c r="L131" s="8"/>
      <c r="M131" s="141"/>
      <c r="N131" s="23">
        <v>119.524</v>
      </c>
      <c r="O131" s="23"/>
      <c r="P131" s="165"/>
      <c r="Q131" s="165"/>
      <c r="R131" s="165"/>
      <c r="S131" s="153">
        <f t="shared" si="19"/>
        <v>0</v>
      </c>
      <c r="T131" s="165"/>
      <c r="U131" s="40"/>
      <c r="V131" s="40"/>
      <c r="W131" s="177"/>
      <c r="X131" s="175"/>
      <c r="Y131" s="180"/>
      <c r="Z131" s="180"/>
      <c r="AA131" s="180"/>
      <c r="AB131" s="180"/>
      <c r="AC131" s="180"/>
      <c r="AD131" s="180"/>
      <c r="AE131" s="180"/>
      <c r="AF131" s="180"/>
      <c r="AG131" s="180"/>
      <c r="AH131" s="180"/>
      <c r="AI131" s="180"/>
      <c r="AJ131" s="180"/>
      <c r="AK131" s="180"/>
      <c r="AL131" s="180"/>
      <c r="AM131" s="180"/>
      <c r="AN131" s="180"/>
      <c r="AO131" s="180"/>
      <c r="AP131" s="180"/>
      <c r="AQ131" s="180"/>
      <c r="AR131" s="180"/>
      <c r="AS131" s="180"/>
      <c r="AT131" s="180"/>
      <c r="AU131" s="180"/>
      <c r="AV131" s="180"/>
      <c r="AW131" s="180"/>
      <c r="AX131" s="180"/>
      <c r="AY131" s="180"/>
      <c r="AZ131" s="180"/>
      <c r="BA131" s="180"/>
      <c r="BB131" s="180"/>
      <c r="BC131" s="180"/>
      <c r="BD131" s="180"/>
      <c r="BE131" s="180"/>
      <c r="BF131" s="180"/>
      <c r="BG131" s="180"/>
      <c r="BH131" s="180"/>
      <c r="BI131" s="180"/>
      <c r="BJ131" s="180"/>
      <c r="BK131" s="180"/>
      <c r="BL131" s="180"/>
      <c r="BM131" s="180"/>
      <c r="BN131" s="180"/>
      <c r="BO131" s="180"/>
      <c r="BP131" s="180"/>
      <c r="BQ131" s="180"/>
      <c r="BR131" s="180"/>
      <c r="BS131" s="180"/>
      <c r="BT131" s="180"/>
      <c r="BU131" s="180"/>
      <c r="BV131" s="180"/>
      <c r="BW131" s="180"/>
      <c r="BX131" s="180"/>
      <c r="BY131" s="180"/>
      <c r="BZ131" s="180"/>
      <c r="CA131" s="180"/>
      <c r="CB131" s="180"/>
      <c r="CC131" s="180"/>
      <c r="CD131" s="180"/>
      <c r="CE131" s="180"/>
      <c r="CF131" s="180"/>
      <c r="CG131" s="180"/>
      <c r="CH131" s="180"/>
      <c r="CI131" s="180"/>
      <c r="CJ131" s="180"/>
      <c r="CK131" s="180"/>
      <c r="CL131" s="180"/>
      <c r="CM131" s="180"/>
      <c r="CN131" s="180"/>
      <c r="CO131" s="180"/>
      <c r="CP131" s="180"/>
      <c r="CQ131" s="180"/>
      <c r="CR131" s="180"/>
    </row>
    <row r="132" spans="1:96" s="181" customFormat="1" ht="30.75" customHeight="1">
      <c r="A132" s="178"/>
      <c r="B132" s="154" t="s">
        <v>748</v>
      </c>
      <c r="C132" s="182"/>
      <c r="D132" s="23">
        <f t="shared" si="14"/>
        <v>521.851</v>
      </c>
      <c r="E132" s="23">
        <f t="shared" si="15"/>
        <v>546.0160000000001</v>
      </c>
      <c r="F132" s="8"/>
      <c r="G132" s="8"/>
      <c r="H132" s="34"/>
      <c r="I132" s="23"/>
      <c r="J132" s="23">
        <v>521.851</v>
      </c>
      <c r="K132" s="23">
        <f>439.494</f>
        <v>439.494</v>
      </c>
      <c r="L132" s="8"/>
      <c r="M132" s="141">
        <f>80.666+25.856</f>
        <v>106.52199999999999</v>
      </c>
      <c r="N132" s="23">
        <f>E132</f>
        <v>546.0160000000001</v>
      </c>
      <c r="O132" s="23"/>
      <c r="P132" s="165"/>
      <c r="Q132" s="165"/>
      <c r="R132" s="165"/>
      <c r="S132" s="153">
        <f t="shared" si="19"/>
        <v>-24.165000000000077</v>
      </c>
      <c r="T132" s="165"/>
      <c r="U132" s="40"/>
      <c r="V132" s="40"/>
      <c r="W132" s="177" t="s">
        <v>719</v>
      </c>
      <c r="X132" s="175"/>
      <c r="Y132" s="180"/>
      <c r="Z132" s="180"/>
      <c r="AA132" s="180"/>
      <c r="AB132" s="180"/>
      <c r="AC132" s="180"/>
      <c r="AD132" s="180"/>
      <c r="AE132" s="180"/>
      <c r="AF132" s="180"/>
      <c r="AG132" s="180"/>
      <c r="AH132" s="180"/>
      <c r="AI132" s="180"/>
      <c r="AJ132" s="180"/>
      <c r="AK132" s="180"/>
      <c r="AL132" s="180"/>
      <c r="AM132" s="180"/>
      <c r="AN132" s="180"/>
      <c r="AO132" s="180"/>
      <c r="AP132" s="180"/>
      <c r="AQ132" s="180"/>
      <c r="AR132" s="180"/>
      <c r="AS132" s="180"/>
      <c r="AT132" s="180"/>
      <c r="AU132" s="180"/>
      <c r="AV132" s="180"/>
      <c r="AW132" s="180"/>
      <c r="AX132" s="180"/>
      <c r="AY132" s="180"/>
      <c r="AZ132" s="180"/>
      <c r="BA132" s="180"/>
      <c r="BB132" s="180"/>
      <c r="BC132" s="180"/>
      <c r="BD132" s="180"/>
      <c r="BE132" s="180"/>
      <c r="BF132" s="180"/>
      <c r="BG132" s="180"/>
      <c r="BH132" s="180"/>
      <c r="BI132" s="180"/>
      <c r="BJ132" s="180"/>
      <c r="BK132" s="180"/>
      <c r="BL132" s="180"/>
      <c r="BM132" s="180"/>
      <c r="BN132" s="180"/>
      <c r="BO132" s="180"/>
      <c r="BP132" s="180"/>
      <c r="BQ132" s="180"/>
      <c r="BR132" s="180"/>
      <c r="BS132" s="180"/>
      <c r="BT132" s="180"/>
      <c r="BU132" s="180"/>
      <c r="BV132" s="180"/>
      <c r="BW132" s="180"/>
      <c r="BX132" s="180"/>
      <c r="BY132" s="180"/>
      <c r="BZ132" s="180"/>
      <c r="CA132" s="180"/>
      <c r="CB132" s="180"/>
      <c r="CC132" s="180"/>
      <c r="CD132" s="180"/>
      <c r="CE132" s="180"/>
      <c r="CF132" s="180"/>
      <c r="CG132" s="180"/>
      <c r="CH132" s="180"/>
      <c r="CI132" s="180"/>
      <c r="CJ132" s="180"/>
      <c r="CK132" s="180"/>
      <c r="CL132" s="180"/>
      <c r="CM132" s="180"/>
      <c r="CN132" s="180"/>
      <c r="CO132" s="180"/>
      <c r="CP132" s="180"/>
      <c r="CQ132" s="180"/>
      <c r="CR132" s="180"/>
    </row>
    <row r="133" spans="1:96" s="181" customFormat="1" ht="30.75" customHeight="1">
      <c r="A133" s="178"/>
      <c r="B133" s="154" t="s">
        <v>749</v>
      </c>
      <c r="C133" s="182"/>
      <c r="D133" s="23">
        <f t="shared" si="14"/>
        <v>250.811</v>
      </c>
      <c r="E133" s="23">
        <f t="shared" si="15"/>
        <v>250.81</v>
      </c>
      <c r="F133" s="8"/>
      <c r="G133" s="8"/>
      <c r="H133" s="34"/>
      <c r="I133" s="23"/>
      <c r="J133" s="23">
        <v>250.811</v>
      </c>
      <c r="K133" s="23">
        <f>194.811</f>
        <v>194.811</v>
      </c>
      <c r="L133" s="8"/>
      <c r="M133" s="141">
        <v>55.999</v>
      </c>
      <c r="N133" s="23">
        <f>E133</f>
        <v>250.81</v>
      </c>
      <c r="O133" s="23"/>
      <c r="P133" s="165"/>
      <c r="Q133" s="165"/>
      <c r="R133" s="165"/>
      <c r="S133" s="153">
        <f t="shared" si="19"/>
        <v>0.0010000000000047748</v>
      </c>
      <c r="T133" s="165"/>
      <c r="U133" s="40"/>
      <c r="V133" s="40"/>
      <c r="W133" s="177"/>
      <c r="X133" s="175"/>
      <c r="Y133" s="180"/>
      <c r="Z133" s="180"/>
      <c r="AA133" s="180"/>
      <c r="AB133" s="180"/>
      <c r="AC133" s="180"/>
      <c r="AD133" s="180"/>
      <c r="AE133" s="180"/>
      <c r="AF133" s="180"/>
      <c r="AG133" s="180"/>
      <c r="AH133" s="180"/>
      <c r="AI133" s="180"/>
      <c r="AJ133" s="180"/>
      <c r="AK133" s="180"/>
      <c r="AL133" s="180"/>
      <c r="AM133" s="180"/>
      <c r="AN133" s="180"/>
      <c r="AO133" s="180"/>
      <c r="AP133" s="180"/>
      <c r="AQ133" s="180"/>
      <c r="AR133" s="180"/>
      <c r="AS133" s="180"/>
      <c r="AT133" s="180"/>
      <c r="AU133" s="180"/>
      <c r="AV133" s="180"/>
      <c r="AW133" s="180"/>
      <c r="AX133" s="180"/>
      <c r="AY133" s="180"/>
      <c r="AZ133" s="180"/>
      <c r="BA133" s="180"/>
      <c r="BB133" s="180"/>
      <c r="BC133" s="180"/>
      <c r="BD133" s="180"/>
      <c r="BE133" s="180"/>
      <c r="BF133" s="180"/>
      <c r="BG133" s="180"/>
      <c r="BH133" s="180"/>
      <c r="BI133" s="180"/>
      <c r="BJ133" s="180"/>
      <c r="BK133" s="180"/>
      <c r="BL133" s="180"/>
      <c r="BM133" s="180"/>
      <c r="BN133" s="180"/>
      <c r="BO133" s="180"/>
      <c r="BP133" s="180"/>
      <c r="BQ133" s="180"/>
      <c r="BR133" s="180"/>
      <c r="BS133" s="180"/>
      <c r="BT133" s="180"/>
      <c r="BU133" s="180"/>
      <c r="BV133" s="180"/>
      <c r="BW133" s="180"/>
      <c r="BX133" s="180"/>
      <c r="BY133" s="180"/>
      <c r="BZ133" s="180"/>
      <c r="CA133" s="180"/>
      <c r="CB133" s="180"/>
      <c r="CC133" s="180"/>
      <c r="CD133" s="180"/>
      <c r="CE133" s="180"/>
      <c r="CF133" s="180"/>
      <c r="CG133" s="180"/>
      <c r="CH133" s="180"/>
      <c r="CI133" s="180"/>
      <c r="CJ133" s="180"/>
      <c r="CK133" s="180"/>
      <c r="CL133" s="180"/>
      <c r="CM133" s="180"/>
      <c r="CN133" s="180"/>
      <c r="CO133" s="180"/>
      <c r="CP133" s="180"/>
      <c r="CQ133" s="180"/>
      <c r="CR133" s="180"/>
    </row>
    <row r="134" spans="1:96" s="181" customFormat="1" ht="25.5" customHeight="1">
      <c r="A134" s="178"/>
      <c r="B134" s="40" t="s">
        <v>135</v>
      </c>
      <c r="C134" s="179"/>
      <c r="D134" s="24">
        <f t="shared" si="14"/>
        <v>612.661</v>
      </c>
      <c r="E134" s="24">
        <f t="shared" si="15"/>
        <v>612.6610000000001</v>
      </c>
      <c r="F134" s="3">
        <f aca="true" t="shared" si="20" ref="F134:N134">F135</f>
        <v>0</v>
      </c>
      <c r="G134" s="3">
        <f t="shared" si="20"/>
        <v>0</v>
      </c>
      <c r="H134" s="3">
        <f t="shared" si="20"/>
        <v>0</v>
      </c>
      <c r="I134" s="3">
        <f t="shared" si="20"/>
        <v>0</v>
      </c>
      <c r="J134" s="24">
        <f t="shared" si="20"/>
        <v>612.661</v>
      </c>
      <c r="K134" s="24">
        <f t="shared" si="20"/>
        <v>504.661</v>
      </c>
      <c r="L134" s="3">
        <f t="shared" si="20"/>
        <v>0</v>
      </c>
      <c r="M134" s="3">
        <f t="shared" si="20"/>
        <v>108</v>
      </c>
      <c r="N134" s="24">
        <f t="shared" si="20"/>
        <v>612.6610000000001</v>
      </c>
      <c r="O134" s="24"/>
      <c r="P134" s="165"/>
      <c r="Q134" s="165"/>
      <c r="R134" s="165"/>
      <c r="S134" s="183">
        <f t="shared" si="19"/>
        <v>0</v>
      </c>
      <c r="T134" s="165"/>
      <c r="U134" s="40"/>
      <c r="V134" s="40"/>
      <c r="W134" s="40"/>
      <c r="X134" s="175"/>
      <c r="Y134" s="180"/>
      <c r="Z134" s="180"/>
      <c r="AA134" s="180"/>
      <c r="AB134" s="180"/>
      <c r="AC134" s="180"/>
      <c r="AD134" s="180"/>
      <c r="AE134" s="180"/>
      <c r="AF134" s="180"/>
      <c r="AG134" s="180"/>
      <c r="AH134" s="180"/>
      <c r="AI134" s="180"/>
      <c r="AJ134" s="180"/>
      <c r="AK134" s="180"/>
      <c r="AL134" s="180"/>
      <c r="AM134" s="180"/>
      <c r="AN134" s="180"/>
      <c r="AO134" s="180"/>
      <c r="AP134" s="180"/>
      <c r="AQ134" s="180"/>
      <c r="AR134" s="180"/>
      <c r="AS134" s="180"/>
      <c r="AT134" s="180"/>
      <c r="AU134" s="180"/>
      <c r="AV134" s="180"/>
      <c r="AW134" s="180"/>
      <c r="AX134" s="180"/>
      <c r="AY134" s="180"/>
      <c r="AZ134" s="180"/>
      <c r="BA134" s="180"/>
      <c r="BB134" s="180"/>
      <c r="BC134" s="180"/>
      <c r="BD134" s="180"/>
      <c r="BE134" s="180"/>
      <c r="BF134" s="180"/>
      <c r="BG134" s="180"/>
      <c r="BH134" s="180"/>
      <c r="BI134" s="180"/>
      <c r="BJ134" s="180"/>
      <c r="BK134" s="180"/>
      <c r="BL134" s="180"/>
      <c r="BM134" s="180"/>
      <c r="BN134" s="180"/>
      <c r="BO134" s="180"/>
      <c r="BP134" s="180"/>
      <c r="BQ134" s="180"/>
      <c r="BR134" s="180"/>
      <c r="BS134" s="180"/>
      <c r="BT134" s="180"/>
      <c r="BU134" s="180"/>
      <c r="BV134" s="180"/>
      <c r="BW134" s="180"/>
      <c r="BX134" s="180"/>
      <c r="BY134" s="180"/>
      <c r="BZ134" s="180"/>
      <c r="CA134" s="180"/>
      <c r="CB134" s="180"/>
      <c r="CC134" s="180"/>
      <c r="CD134" s="180"/>
      <c r="CE134" s="180"/>
      <c r="CF134" s="180"/>
      <c r="CG134" s="180"/>
      <c r="CH134" s="180"/>
      <c r="CI134" s="180"/>
      <c r="CJ134" s="180"/>
      <c r="CK134" s="180"/>
      <c r="CL134" s="180"/>
      <c r="CM134" s="180"/>
      <c r="CN134" s="180"/>
      <c r="CO134" s="180"/>
      <c r="CP134" s="180"/>
      <c r="CQ134" s="180"/>
      <c r="CR134" s="180"/>
    </row>
    <row r="135" spans="1:96" s="181" customFormat="1" ht="42" customHeight="1">
      <c r="A135" s="178"/>
      <c r="B135" s="154" t="s">
        <v>750</v>
      </c>
      <c r="C135" s="179"/>
      <c r="D135" s="23">
        <f t="shared" si="14"/>
        <v>612.661</v>
      </c>
      <c r="E135" s="23">
        <f t="shared" si="15"/>
        <v>612.6610000000001</v>
      </c>
      <c r="F135" s="3"/>
      <c r="G135" s="3"/>
      <c r="H135" s="163"/>
      <c r="I135" s="3"/>
      <c r="J135" s="23">
        <v>612.661</v>
      </c>
      <c r="K135" s="23">
        <v>504.661</v>
      </c>
      <c r="L135" s="3"/>
      <c r="M135" s="184">
        <v>108</v>
      </c>
      <c r="N135" s="23">
        <f>E135</f>
        <v>612.6610000000001</v>
      </c>
      <c r="O135" s="23"/>
      <c r="P135" s="165"/>
      <c r="Q135" s="165"/>
      <c r="R135" s="165"/>
      <c r="S135" s="172">
        <f t="shared" si="19"/>
        <v>0</v>
      </c>
      <c r="T135" s="165"/>
      <c r="U135" s="40"/>
      <c r="V135" s="40"/>
      <c r="W135" s="177"/>
      <c r="X135" s="175"/>
      <c r="Y135" s="180"/>
      <c r="Z135" s="180"/>
      <c r="AA135" s="180"/>
      <c r="AB135" s="180"/>
      <c r="AC135" s="180"/>
      <c r="AD135" s="180"/>
      <c r="AE135" s="180"/>
      <c r="AF135" s="180"/>
      <c r="AG135" s="180"/>
      <c r="AH135" s="180"/>
      <c r="AI135" s="180"/>
      <c r="AJ135" s="180"/>
      <c r="AK135" s="180"/>
      <c r="AL135" s="180"/>
      <c r="AM135" s="180"/>
      <c r="AN135" s="180"/>
      <c r="AO135" s="180"/>
      <c r="AP135" s="180"/>
      <c r="AQ135" s="180"/>
      <c r="AR135" s="180"/>
      <c r="AS135" s="180"/>
      <c r="AT135" s="180"/>
      <c r="AU135" s="180"/>
      <c r="AV135" s="180"/>
      <c r="AW135" s="180"/>
      <c r="AX135" s="180"/>
      <c r="AY135" s="180"/>
      <c r="AZ135" s="180"/>
      <c r="BA135" s="180"/>
      <c r="BB135" s="180"/>
      <c r="BC135" s="180"/>
      <c r="BD135" s="180"/>
      <c r="BE135" s="180"/>
      <c r="BF135" s="180"/>
      <c r="BG135" s="180"/>
      <c r="BH135" s="180"/>
      <c r="BI135" s="180"/>
      <c r="BJ135" s="180"/>
      <c r="BK135" s="180"/>
      <c r="BL135" s="180"/>
      <c r="BM135" s="180"/>
      <c r="BN135" s="180"/>
      <c r="BO135" s="180"/>
      <c r="BP135" s="180"/>
      <c r="BQ135" s="180"/>
      <c r="BR135" s="180"/>
      <c r="BS135" s="180"/>
      <c r="BT135" s="180"/>
      <c r="BU135" s="180"/>
      <c r="BV135" s="180"/>
      <c r="BW135" s="180"/>
      <c r="BX135" s="180"/>
      <c r="BY135" s="180"/>
      <c r="BZ135" s="180"/>
      <c r="CA135" s="180"/>
      <c r="CB135" s="180"/>
      <c r="CC135" s="180"/>
      <c r="CD135" s="180"/>
      <c r="CE135" s="180"/>
      <c r="CF135" s="180"/>
      <c r="CG135" s="180"/>
      <c r="CH135" s="180"/>
      <c r="CI135" s="180"/>
      <c r="CJ135" s="180"/>
      <c r="CK135" s="180"/>
      <c r="CL135" s="180"/>
      <c r="CM135" s="180"/>
      <c r="CN135" s="180"/>
      <c r="CO135" s="180"/>
      <c r="CP135" s="180"/>
      <c r="CQ135" s="180"/>
      <c r="CR135" s="180"/>
    </row>
    <row r="136" spans="2:97" s="40" customFormat="1" ht="23.25" customHeight="1">
      <c r="B136" s="40" t="s">
        <v>47</v>
      </c>
      <c r="C136" s="3"/>
      <c r="D136" s="24">
        <f t="shared" si="14"/>
        <v>4298.204</v>
      </c>
      <c r="E136" s="24">
        <f t="shared" si="15"/>
        <v>4371.709</v>
      </c>
      <c r="F136" s="3">
        <f aca="true" t="shared" si="21" ref="F136:N136">F138+F139+F140+F141+F142+F143+F144+F145+F146+F147+F148</f>
        <v>0</v>
      </c>
      <c r="G136" s="3">
        <f t="shared" si="21"/>
        <v>0</v>
      </c>
      <c r="H136" s="3">
        <f t="shared" si="21"/>
        <v>1110.176</v>
      </c>
      <c r="I136" s="3">
        <f t="shared" si="21"/>
        <v>1025.695</v>
      </c>
      <c r="J136" s="3">
        <f t="shared" si="21"/>
        <v>2280.0280000000002</v>
      </c>
      <c r="K136" s="3">
        <f t="shared" si="21"/>
        <v>2364.509</v>
      </c>
      <c r="L136" s="3">
        <f t="shared" si="21"/>
        <v>908</v>
      </c>
      <c r="M136" s="3">
        <f t="shared" si="21"/>
        <v>981.505</v>
      </c>
      <c r="N136" s="3">
        <f t="shared" si="21"/>
        <v>4371.709</v>
      </c>
      <c r="O136" s="3"/>
      <c r="P136" s="165"/>
      <c r="Q136" s="165"/>
      <c r="R136" s="165"/>
      <c r="S136" s="3">
        <f>S138+S139+S140+S141+S142+S143+S144+S145+S146+S147</f>
        <v>-4.055000000000064</v>
      </c>
      <c r="T136" s="165"/>
      <c r="X136" s="175"/>
      <c r="Y136" s="175"/>
      <c r="Z136" s="175"/>
      <c r="AA136" s="175"/>
      <c r="AB136" s="175"/>
      <c r="AC136" s="175"/>
      <c r="AD136" s="175"/>
      <c r="AE136" s="175"/>
      <c r="AF136" s="175"/>
      <c r="AG136" s="175"/>
      <c r="AH136" s="175"/>
      <c r="AI136" s="175"/>
      <c r="AJ136" s="175"/>
      <c r="AK136" s="175"/>
      <c r="AL136" s="175"/>
      <c r="AM136" s="175"/>
      <c r="AN136" s="175"/>
      <c r="AO136" s="175"/>
      <c r="AP136" s="175"/>
      <c r="AQ136" s="175"/>
      <c r="AR136" s="175"/>
      <c r="AS136" s="175"/>
      <c r="AT136" s="175"/>
      <c r="AU136" s="175"/>
      <c r="AV136" s="175"/>
      <c r="AW136" s="175"/>
      <c r="AX136" s="175"/>
      <c r="AY136" s="175"/>
      <c r="AZ136" s="175"/>
      <c r="BA136" s="175"/>
      <c r="BB136" s="175"/>
      <c r="BC136" s="175"/>
      <c r="BD136" s="175"/>
      <c r="BE136" s="175"/>
      <c r="BF136" s="175"/>
      <c r="BG136" s="175"/>
      <c r="BH136" s="175"/>
      <c r="BI136" s="175"/>
      <c r="BJ136" s="175"/>
      <c r="BK136" s="175"/>
      <c r="BL136" s="175"/>
      <c r="BM136" s="175"/>
      <c r="BN136" s="175"/>
      <c r="BO136" s="175"/>
      <c r="BP136" s="175"/>
      <c r="BQ136" s="175"/>
      <c r="BR136" s="175"/>
      <c r="BS136" s="175"/>
      <c r="BT136" s="175"/>
      <c r="BU136" s="175"/>
      <c r="BV136" s="175"/>
      <c r="BW136" s="175"/>
      <c r="BX136" s="175"/>
      <c r="BY136" s="175"/>
      <c r="BZ136" s="175"/>
      <c r="CA136" s="175"/>
      <c r="CB136" s="175"/>
      <c r="CC136" s="175"/>
      <c r="CD136" s="175"/>
      <c r="CE136" s="175"/>
      <c r="CF136" s="175"/>
      <c r="CG136" s="175"/>
      <c r="CH136" s="175"/>
      <c r="CI136" s="175"/>
      <c r="CJ136" s="175"/>
      <c r="CK136" s="175"/>
      <c r="CL136" s="175"/>
      <c r="CM136" s="175"/>
      <c r="CN136" s="175"/>
      <c r="CO136" s="175"/>
      <c r="CP136" s="175"/>
      <c r="CQ136" s="175"/>
      <c r="CR136" s="175"/>
      <c r="CS136" s="176"/>
    </row>
    <row r="137" spans="2:97" s="40" customFormat="1" ht="16.5" customHeight="1">
      <c r="B137" s="40" t="s">
        <v>727</v>
      </c>
      <c r="C137" s="3"/>
      <c r="D137" s="8"/>
      <c r="E137" s="23"/>
      <c r="F137" s="8"/>
      <c r="G137" s="8"/>
      <c r="H137" s="34"/>
      <c r="I137" s="23"/>
      <c r="J137" s="8"/>
      <c r="K137" s="8"/>
      <c r="L137" s="8"/>
      <c r="M137" s="141"/>
      <c r="N137" s="8"/>
      <c r="O137" s="23"/>
      <c r="P137" s="165"/>
      <c r="Q137" s="165"/>
      <c r="R137" s="165"/>
      <c r="S137" s="153"/>
      <c r="T137" s="165"/>
      <c r="W137" s="177"/>
      <c r="X137" s="175"/>
      <c r="Y137" s="175"/>
      <c r="Z137" s="175"/>
      <c r="AA137" s="175"/>
      <c r="AB137" s="175"/>
      <c r="AC137" s="175"/>
      <c r="AD137" s="175"/>
      <c r="AE137" s="175"/>
      <c r="AF137" s="175"/>
      <c r="AG137" s="175"/>
      <c r="AH137" s="175"/>
      <c r="AI137" s="175"/>
      <c r="AJ137" s="175"/>
      <c r="AK137" s="175"/>
      <c r="AL137" s="175"/>
      <c r="AM137" s="175"/>
      <c r="AN137" s="175"/>
      <c r="AO137" s="175"/>
      <c r="AP137" s="175"/>
      <c r="AQ137" s="175"/>
      <c r="AR137" s="175"/>
      <c r="AS137" s="175"/>
      <c r="AT137" s="175"/>
      <c r="AU137" s="175"/>
      <c r="AV137" s="175"/>
      <c r="AW137" s="175"/>
      <c r="AX137" s="175"/>
      <c r="AY137" s="175"/>
      <c r="AZ137" s="175"/>
      <c r="BA137" s="175"/>
      <c r="BB137" s="175"/>
      <c r="BC137" s="175"/>
      <c r="BD137" s="175"/>
      <c r="BE137" s="175"/>
      <c r="BF137" s="175"/>
      <c r="BG137" s="175"/>
      <c r="BH137" s="175"/>
      <c r="BI137" s="175"/>
      <c r="BJ137" s="175"/>
      <c r="BK137" s="175"/>
      <c r="BL137" s="175"/>
      <c r="BM137" s="175"/>
      <c r="BN137" s="175"/>
      <c r="BO137" s="175"/>
      <c r="BP137" s="175"/>
      <c r="BQ137" s="175"/>
      <c r="BR137" s="175"/>
      <c r="BS137" s="175"/>
      <c r="BT137" s="175"/>
      <c r="BU137" s="175"/>
      <c r="BV137" s="175"/>
      <c r="BW137" s="175"/>
      <c r="BX137" s="175"/>
      <c r="BY137" s="175"/>
      <c r="BZ137" s="175"/>
      <c r="CA137" s="175"/>
      <c r="CB137" s="175"/>
      <c r="CC137" s="175"/>
      <c r="CD137" s="175"/>
      <c r="CE137" s="175"/>
      <c r="CF137" s="175"/>
      <c r="CG137" s="175"/>
      <c r="CH137" s="175"/>
      <c r="CI137" s="175"/>
      <c r="CJ137" s="175"/>
      <c r="CK137" s="175"/>
      <c r="CL137" s="175"/>
      <c r="CM137" s="175"/>
      <c r="CN137" s="175"/>
      <c r="CO137" s="175"/>
      <c r="CP137" s="175"/>
      <c r="CQ137" s="175"/>
      <c r="CR137" s="175"/>
      <c r="CS137" s="176"/>
    </row>
    <row r="138" spans="1:96" s="181" customFormat="1" ht="42" customHeight="1">
      <c r="A138" s="178"/>
      <c r="B138" s="154" t="s">
        <v>751</v>
      </c>
      <c r="C138" s="182"/>
      <c r="D138" s="23">
        <f aca="true" t="shared" si="22" ref="D138:D149">F138+H138+J138+L138</f>
        <v>125.493</v>
      </c>
      <c r="E138" s="23">
        <f aca="true" t="shared" si="23" ref="E138:E149">G138+I138+K138+M138</f>
        <v>125.493</v>
      </c>
      <c r="F138" s="32"/>
      <c r="G138" s="32"/>
      <c r="H138" s="23">
        <v>125.493</v>
      </c>
      <c r="I138" s="23">
        <v>125.493</v>
      </c>
      <c r="J138" s="8"/>
      <c r="K138" s="185"/>
      <c r="L138" s="185"/>
      <c r="M138" s="186"/>
      <c r="N138" s="23">
        <v>125.493</v>
      </c>
      <c r="O138" s="23"/>
      <c r="P138" s="187"/>
      <c r="Q138" s="187"/>
      <c r="R138" s="187"/>
      <c r="S138" s="172">
        <f aca="true" t="shared" si="24" ref="S138:S147">D138-E138</f>
        <v>0</v>
      </c>
      <c r="T138" s="187"/>
      <c r="U138" s="188"/>
      <c r="V138" s="188"/>
      <c r="W138" s="177"/>
      <c r="X138" s="180"/>
      <c r="Y138" s="180"/>
      <c r="Z138" s="180"/>
      <c r="AA138" s="180"/>
      <c r="AB138" s="180"/>
      <c r="AC138" s="180"/>
      <c r="AD138" s="180"/>
      <c r="AE138" s="180"/>
      <c r="AF138" s="180"/>
      <c r="AG138" s="180"/>
      <c r="AH138" s="180"/>
      <c r="AI138" s="180"/>
      <c r="AJ138" s="180"/>
      <c r="AK138" s="180"/>
      <c r="AL138" s="180"/>
      <c r="AM138" s="180"/>
      <c r="AN138" s="180"/>
      <c r="AO138" s="180"/>
      <c r="AP138" s="180"/>
      <c r="AQ138" s="180"/>
      <c r="AR138" s="180"/>
      <c r="AS138" s="180"/>
      <c r="AT138" s="180"/>
      <c r="AU138" s="180"/>
      <c r="AV138" s="180"/>
      <c r="AW138" s="180"/>
      <c r="AX138" s="180"/>
      <c r="AY138" s="180"/>
      <c r="AZ138" s="180"/>
      <c r="BA138" s="180"/>
      <c r="BB138" s="180"/>
      <c r="BC138" s="180"/>
      <c r="BD138" s="180"/>
      <c r="BE138" s="180"/>
      <c r="BF138" s="180"/>
      <c r="BG138" s="180"/>
      <c r="BH138" s="180"/>
      <c r="BI138" s="180"/>
      <c r="BJ138" s="180"/>
      <c r="BK138" s="180"/>
      <c r="BL138" s="180"/>
      <c r="BM138" s="180"/>
      <c r="BN138" s="180"/>
      <c r="BO138" s="180"/>
      <c r="BP138" s="180"/>
      <c r="BQ138" s="180"/>
      <c r="BR138" s="180"/>
      <c r="BS138" s="180"/>
      <c r="BT138" s="180"/>
      <c r="BU138" s="180"/>
      <c r="BV138" s="180"/>
      <c r="BW138" s="180"/>
      <c r="BX138" s="180"/>
      <c r="BY138" s="180"/>
      <c r="BZ138" s="180"/>
      <c r="CA138" s="180"/>
      <c r="CB138" s="180"/>
      <c r="CC138" s="180"/>
      <c r="CD138" s="180"/>
      <c r="CE138" s="180"/>
      <c r="CF138" s="180"/>
      <c r="CG138" s="180"/>
      <c r="CH138" s="180"/>
      <c r="CI138" s="180"/>
      <c r="CJ138" s="180"/>
      <c r="CK138" s="180"/>
      <c r="CL138" s="180"/>
      <c r="CM138" s="180"/>
      <c r="CN138" s="180"/>
      <c r="CO138" s="180"/>
      <c r="CP138" s="180"/>
      <c r="CQ138" s="180"/>
      <c r="CR138" s="180"/>
    </row>
    <row r="139" spans="1:96" s="181" customFormat="1" ht="42" customHeight="1">
      <c r="A139" s="178"/>
      <c r="B139" s="154" t="s">
        <v>752</v>
      </c>
      <c r="C139" s="182"/>
      <c r="D139" s="23">
        <f t="shared" si="22"/>
        <v>176.32</v>
      </c>
      <c r="E139" s="23">
        <f t="shared" si="23"/>
        <v>176.32</v>
      </c>
      <c r="F139" s="32"/>
      <c r="G139" s="32"/>
      <c r="H139" s="23">
        <v>176.32</v>
      </c>
      <c r="I139" s="23">
        <v>176.32</v>
      </c>
      <c r="J139" s="8"/>
      <c r="K139" s="185"/>
      <c r="L139" s="185"/>
      <c r="M139" s="186"/>
      <c r="N139" s="23">
        <v>176.32</v>
      </c>
      <c r="O139" s="23"/>
      <c r="P139" s="187"/>
      <c r="Q139" s="187"/>
      <c r="R139" s="187"/>
      <c r="S139" s="172">
        <f t="shared" si="24"/>
        <v>0</v>
      </c>
      <c r="T139" s="187"/>
      <c r="U139" s="188"/>
      <c r="V139" s="188"/>
      <c r="W139" s="177"/>
      <c r="X139" s="180"/>
      <c r="Y139" s="180"/>
      <c r="Z139" s="180"/>
      <c r="AA139" s="180"/>
      <c r="AB139" s="180"/>
      <c r="AC139" s="180"/>
      <c r="AD139" s="180"/>
      <c r="AE139" s="180"/>
      <c r="AF139" s="180"/>
      <c r="AG139" s="180"/>
      <c r="AH139" s="180"/>
      <c r="AI139" s="180"/>
      <c r="AJ139" s="180"/>
      <c r="AK139" s="180"/>
      <c r="AL139" s="180"/>
      <c r="AM139" s="180"/>
      <c r="AN139" s="180"/>
      <c r="AO139" s="180"/>
      <c r="AP139" s="180"/>
      <c r="AQ139" s="180"/>
      <c r="AR139" s="180"/>
      <c r="AS139" s="180"/>
      <c r="AT139" s="180"/>
      <c r="AU139" s="180"/>
      <c r="AV139" s="180"/>
      <c r="AW139" s="180"/>
      <c r="AX139" s="180"/>
      <c r="AY139" s="180"/>
      <c r="AZ139" s="180"/>
      <c r="BA139" s="180"/>
      <c r="BB139" s="180"/>
      <c r="BC139" s="180"/>
      <c r="BD139" s="180"/>
      <c r="BE139" s="180"/>
      <c r="BF139" s="180"/>
      <c r="BG139" s="180"/>
      <c r="BH139" s="180"/>
      <c r="BI139" s="180"/>
      <c r="BJ139" s="180"/>
      <c r="BK139" s="180"/>
      <c r="BL139" s="180"/>
      <c r="BM139" s="180"/>
      <c r="BN139" s="180"/>
      <c r="BO139" s="180"/>
      <c r="BP139" s="180"/>
      <c r="BQ139" s="180"/>
      <c r="BR139" s="180"/>
      <c r="BS139" s="180"/>
      <c r="BT139" s="180"/>
      <c r="BU139" s="180"/>
      <c r="BV139" s="180"/>
      <c r="BW139" s="180"/>
      <c r="BX139" s="180"/>
      <c r="BY139" s="180"/>
      <c r="BZ139" s="180"/>
      <c r="CA139" s="180"/>
      <c r="CB139" s="180"/>
      <c r="CC139" s="180"/>
      <c r="CD139" s="180"/>
      <c r="CE139" s="180"/>
      <c r="CF139" s="180"/>
      <c r="CG139" s="180"/>
      <c r="CH139" s="180"/>
      <c r="CI139" s="180"/>
      <c r="CJ139" s="180"/>
      <c r="CK139" s="180"/>
      <c r="CL139" s="180"/>
      <c r="CM139" s="180"/>
      <c r="CN139" s="180"/>
      <c r="CO139" s="180"/>
      <c r="CP139" s="180"/>
      <c r="CQ139" s="180"/>
      <c r="CR139" s="180"/>
    </row>
    <row r="140" spans="1:96" s="181" customFormat="1" ht="42" customHeight="1">
      <c r="A140" s="178"/>
      <c r="B140" s="154" t="s">
        <v>753</v>
      </c>
      <c r="C140" s="182"/>
      <c r="D140" s="23">
        <f t="shared" si="22"/>
        <v>481.21999999999997</v>
      </c>
      <c r="E140" s="23">
        <f t="shared" si="23"/>
        <v>481.21999999999997</v>
      </c>
      <c r="F140" s="32"/>
      <c r="G140" s="32"/>
      <c r="H140" s="23">
        <f>I140+K140</f>
        <v>481.21999999999997</v>
      </c>
      <c r="I140" s="23">
        <v>396.739</v>
      </c>
      <c r="J140" s="189"/>
      <c r="K140" s="23">
        <v>84.481</v>
      </c>
      <c r="L140" s="185"/>
      <c r="M140" s="186"/>
      <c r="N140" s="23">
        <f>396.739+84.481</f>
        <v>481.21999999999997</v>
      </c>
      <c r="O140" s="23"/>
      <c r="P140" s="187"/>
      <c r="Q140" s="187"/>
      <c r="R140" s="187"/>
      <c r="S140" s="172">
        <f t="shared" si="24"/>
        <v>0</v>
      </c>
      <c r="T140" s="187"/>
      <c r="U140" s="188"/>
      <c r="V140" s="188"/>
      <c r="W140" s="177"/>
      <c r="X140" s="180"/>
      <c r="Y140" s="180"/>
      <c r="Z140" s="180"/>
      <c r="AA140" s="180"/>
      <c r="AB140" s="180"/>
      <c r="AC140" s="180"/>
      <c r="AD140" s="180"/>
      <c r="AE140" s="180"/>
      <c r="AF140" s="180"/>
      <c r="AG140" s="180"/>
      <c r="AH140" s="180"/>
      <c r="AI140" s="180"/>
      <c r="AJ140" s="180"/>
      <c r="AK140" s="180"/>
      <c r="AL140" s="180"/>
      <c r="AM140" s="180"/>
      <c r="AN140" s="180"/>
      <c r="AO140" s="180"/>
      <c r="AP140" s="180"/>
      <c r="AQ140" s="180"/>
      <c r="AR140" s="180"/>
      <c r="AS140" s="180"/>
      <c r="AT140" s="180"/>
      <c r="AU140" s="180"/>
      <c r="AV140" s="180"/>
      <c r="AW140" s="180"/>
      <c r="AX140" s="180"/>
      <c r="AY140" s="180"/>
      <c r="AZ140" s="180"/>
      <c r="BA140" s="180"/>
      <c r="BB140" s="180"/>
      <c r="BC140" s="180"/>
      <c r="BD140" s="180"/>
      <c r="BE140" s="180"/>
      <c r="BF140" s="180"/>
      <c r="BG140" s="180"/>
      <c r="BH140" s="180"/>
      <c r="BI140" s="180"/>
      <c r="BJ140" s="180"/>
      <c r="BK140" s="180"/>
      <c r="BL140" s="180"/>
      <c r="BM140" s="180"/>
      <c r="BN140" s="180"/>
      <c r="BO140" s="180"/>
      <c r="BP140" s="180"/>
      <c r="BQ140" s="180"/>
      <c r="BR140" s="180"/>
      <c r="BS140" s="180"/>
      <c r="BT140" s="180"/>
      <c r="BU140" s="180"/>
      <c r="BV140" s="180"/>
      <c r="BW140" s="180"/>
      <c r="BX140" s="180"/>
      <c r="BY140" s="180"/>
      <c r="BZ140" s="180"/>
      <c r="CA140" s="180"/>
      <c r="CB140" s="180"/>
      <c r="CC140" s="180"/>
      <c r="CD140" s="180"/>
      <c r="CE140" s="180"/>
      <c r="CF140" s="180"/>
      <c r="CG140" s="180"/>
      <c r="CH140" s="180"/>
      <c r="CI140" s="180"/>
      <c r="CJ140" s="180"/>
      <c r="CK140" s="180"/>
      <c r="CL140" s="180"/>
      <c r="CM140" s="180"/>
      <c r="CN140" s="180"/>
      <c r="CO140" s="180"/>
      <c r="CP140" s="180"/>
      <c r="CQ140" s="180"/>
      <c r="CR140" s="180"/>
    </row>
    <row r="141" spans="1:96" s="181" customFormat="1" ht="28.5" customHeight="1">
      <c r="A141" s="178"/>
      <c r="B141" s="154" t="s">
        <v>754</v>
      </c>
      <c r="C141" s="182"/>
      <c r="D141" s="23">
        <f t="shared" si="22"/>
        <v>327.143</v>
      </c>
      <c r="E141" s="23">
        <f t="shared" si="23"/>
        <v>327.143</v>
      </c>
      <c r="F141" s="32"/>
      <c r="G141" s="32"/>
      <c r="H141" s="23">
        <v>327.143</v>
      </c>
      <c r="I141" s="23">
        <v>327.143</v>
      </c>
      <c r="J141" s="189"/>
      <c r="K141" s="167"/>
      <c r="L141" s="185"/>
      <c r="M141" s="186"/>
      <c r="N141" s="23">
        <v>327.143</v>
      </c>
      <c r="O141" s="23"/>
      <c r="P141" s="187"/>
      <c r="Q141" s="187"/>
      <c r="R141" s="187"/>
      <c r="S141" s="172">
        <f t="shared" si="24"/>
        <v>0</v>
      </c>
      <c r="T141" s="187"/>
      <c r="U141" s="188"/>
      <c r="V141" s="188"/>
      <c r="W141" s="13"/>
      <c r="X141" s="180"/>
      <c r="Y141" s="180"/>
      <c r="Z141" s="180"/>
      <c r="AA141" s="180"/>
      <c r="AB141" s="180"/>
      <c r="AC141" s="180"/>
      <c r="AD141" s="180"/>
      <c r="AE141" s="180"/>
      <c r="AF141" s="180"/>
      <c r="AG141" s="180"/>
      <c r="AH141" s="180"/>
      <c r="AI141" s="180"/>
      <c r="AJ141" s="180"/>
      <c r="AK141" s="180"/>
      <c r="AL141" s="180"/>
      <c r="AM141" s="180"/>
      <c r="AN141" s="180"/>
      <c r="AO141" s="180"/>
      <c r="AP141" s="180"/>
      <c r="AQ141" s="180"/>
      <c r="AR141" s="180"/>
      <c r="AS141" s="180"/>
      <c r="AT141" s="180"/>
      <c r="AU141" s="180"/>
      <c r="AV141" s="180"/>
      <c r="AW141" s="180"/>
      <c r="AX141" s="180"/>
      <c r="AY141" s="180"/>
      <c r="AZ141" s="180"/>
      <c r="BA141" s="180"/>
      <c r="BB141" s="180"/>
      <c r="BC141" s="180"/>
      <c r="BD141" s="180"/>
      <c r="BE141" s="180"/>
      <c r="BF141" s="180"/>
      <c r="BG141" s="180"/>
      <c r="BH141" s="180"/>
      <c r="BI141" s="180"/>
      <c r="BJ141" s="180"/>
      <c r="BK141" s="180"/>
      <c r="BL141" s="180"/>
      <c r="BM141" s="180"/>
      <c r="BN141" s="180"/>
      <c r="BO141" s="180"/>
      <c r="BP141" s="180"/>
      <c r="BQ141" s="180"/>
      <c r="BR141" s="180"/>
      <c r="BS141" s="180"/>
      <c r="BT141" s="180"/>
      <c r="BU141" s="180"/>
      <c r="BV141" s="180"/>
      <c r="BW141" s="180"/>
      <c r="BX141" s="180"/>
      <c r="BY141" s="180"/>
      <c r="BZ141" s="180"/>
      <c r="CA141" s="180"/>
      <c r="CB141" s="180"/>
      <c r="CC141" s="180"/>
      <c r="CD141" s="180"/>
      <c r="CE141" s="180"/>
      <c r="CF141" s="180"/>
      <c r="CG141" s="180"/>
      <c r="CH141" s="180"/>
      <c r="CI141" s="180"/>
      <c r="CJ141" s="180"/>
      <c r="CK141" s="180"/>
      <c r="CL141" s="180"/>
      <c r="CM141" s="180"/>
      <c r="CN141" s="180"/>
      <c r="CO141" s="180"/>
      <c r="CP141" s="180"/>
      <c r="CQ141" s="180"/>
      <c r="CR141" s="180"/>
    </row>
    <row r="142" spans="1:96" s="181" customFormat="1" ht="42" customHeight="1">
      <c r="A142" s="178"/>
      <c r="B142" s="13" t="s">
        <v>138</v>
      </c>
      <c r="C142" s="182"/>
      <c r="D142" s="23">
        <f t="shared" si="22"/>
        <v>601.155</v>
      </c>
      <c r="E142" s="23">
        <f t="shared" si="23"/>
        <v>601.187</v>
      </c>
      <c r="F142" s="32"/>
      <c r="G142" s="32"/>
      <c r="H142" s="28"/>
      <c r="I142" s="23"/>
      <c r="J142" s="167">
        <f>491.155</f>
        <v>491.155</v>
      </c>
      <c r="K142" s="167">
        <f>491.155</f>
        <v>491.155</v>
      </c>
      <c r="L142" s="190">
        <v>110</v>
      </c>
      <c r="M142" s="191">
        <v>110.032</v>
      </c>
      <c r="N142" s="167">
        <f aca="true" t="shared" si="25" ref="N142:N148">E142</f>
        <v>601.187</v>
      </c>
      <c r="O142" s="167"/>
      <c r="P142" s="187"/>
      <c r="Q142" s="187"/>
      <c r="R142" s="187"/>
      <c r="S142" s="172">
        <f t="shared" si="24"/>
        <v>-0.03200000000003911</v>
      </c>
      <c r="T142" s="187"/>
      <c r="U142" s="188"/>
      <c r="V142" s="188"/>
      <c r="W142" s="177"/>
      <c r="X142" s="180"/>
      <c r="Y142" s="180"/>
      <c r="Z142" s="180"/>
      <c r="AA142" s="180"/>
      <c r="AB142" s="180"/>
      <c r="AC142" s="180"/>
      <c r="AD142" s="180"/>
      <c r="AE142" s="180"/>
      <c r="AF142" s="180"/>
      <c r="AG142" s="180"/>
      <c r="AH142" s="180"/>
      <c r="AI142" s="180"/>
      <c r="AJ142" s="180"/>
      <c r="AK142" s="180"/>
      <c r="AL142" s="180"/>
      <c r="AM142" s="180"/>
      <c r="AN142" s="180"/>
      <c r="AO142" s="180"/>
      <c r="AP142" s="180"/>
      <c r="AQ142" s="180"/>
      <c r="AR142" s="180"/>
      <c r="AS142" s="180"/>
      <c r="AT142" s="180"/>
      <c r="AU142" s="180"/>
      <c r="AV142" s="180"/>
      <c r="AW142" s="180"/>
      <c r="AX142" s="180"/>
      <c r="AY142" s="180"/>
      <c r="AZ142" s="180"/>
      <c r="BA142" s="180"/>
      <c r="BB142" s="180"/>
      <c r="BC142" s="180"/>
      <c r="BD142" s="180"/>
      <c r="BE142" s="180"/>
      <c r="BF142" s="180"/>
      <c r="BG142" s="180"/>
      <c r="BH142" s="180"/>
      <c r="BI142" s="180"/>
      <c r="BJ142" s="180"/>
      <c r="BK142" s="180"/>
      <c r="BL142" s="180"/>
      <c r="BM142" s="180"/>
      <c r="BN142" s="180"/>
      <c r="BO142" s="180"/>
      <c r="BP142" s="180"/>
      <c r="BQ142" s="180"/>
      <c r="BR142" s="180"/>
      <c r="BS142" s="180"/>
      <c r="BT142" s="180"/>
      <c r="BU142" s="180"/>
      <c r="BV142" s="180"/>
      <c r="BW142" s="180"/>
      <c r="BX142" s="180"/>
      <c r="BY142" s="180"/>
      <c r="BZ142" s="180"/>
      <c r="CA142" s="180"/>
      <c r="CB142" s="180"/>
      <c r="CC142" s="180"/>
      <c r="CD142" s="180"/>
      <c r="CE142" s="180"/>
      <c r="CF142" s="180"/>
      <c r="CG142" s="180"/>
      <c r="CH142" s="180"/>
      <c r="CI142" s="180"/>
      <c r="CJ142" s="180"/>
      <c r="CK142" s="180"/>
      <c r="CL142" s="180"/>
      <c r="CM142" s="180"/>
      <c r="CN142" s="180"/>
      <c r="CO142" s="180"/>
      <c r="CP142" s="180"/>
      <c r="CQ142" s="180"/>
      <c r="CR142" s="180"/>
    </row>
    <row r="143" spans="1:96" s="181" customFormat="1" ht="42" customHeight="1">
      <c r="A143" s="178"/>
      <c r="B143" s="13" t="s">
        <v>142</v>
      </c>
      <c r="C143" s="182"/>
      <c r="D143" s="23">
        <f t="shared" si="22"/>
        <v>348.228</v>
      </c>
      <c r="E143" s="23">
        <f t="shared" si="23"/>
        <v>352.231</v>
      </c>
      <c r="F143" s="32"/>
      <c r="G143" s="32"/>
      <c r="H143" s="28"/>
      <c r="I143" s="23"/>
      <c r="J143" s="167">
        <f>275.228</f>
        <v>275.228</v>
      </c>
      <c r="K143" s="167">
        <f>275.228</f>
        <v>275.228</v>
      </c>
      <c r="L143" s="190">
        <v>73</v>
      </c>
      <c r="M143" s="191">
        <v>77.003</v>
      </c>
      <c r="N143" s="167">
        <f t="shared" si="25"/>
        <v>352.231</v>
      </c>
      <c r="O143" s="167"/>
      <c r="P143" s="187"/>
      <c r="Q143" s="187"/>
      <c r="R143" s="187"/>
      <c r="S143" s="172">
        <f t="shared" si="24"/>
        <v>-4.002999999999986</v>
      </c>
      <c r="T143" s="187"/>
      <c r="U143" s="188"/>
      <c r="V143" s="188"/>
      <c r="W143" s="177"/>
      <c r="X143" s="180"/>
      <c r="Y143" s="180"/>
      <c r="Z143" s="180"/>
      <c r="AA143" s="180"/>
      <c r="AB143" s="180"/>
      <c r="AC143" s="180"/>
      <c r="AD143" s="180"/>
      <c r="AE143" s="180"/>
      <c r="AF143" s="180"/>
      <c r="AG143" s="180"/>
      <c r="AH143" s="180"/>
      <c r="AI143" s="180"/>
      <c r="AJ143" s="180"/>
      <c r="AK143" s="180"/>
      <c r="AL143" s="180"/>
      <c r="AM143" s="180"/>
      <c r="AN143" s="180"/>
      <c r="AO143" s="180"/>
      <c r="AP143" s="180"/>
      <c r="AQ143" s="180"/>
      <c r="AR143" s="180"/>
      <c r="AS143" s="180"/>
      <c r="AT143" s="180"/>
      <c r="AU143" s="180"/>
      <c r="AV143" s="180"/>
      <c r="AW143" s="180"/>
      <c r="AX143" s="180"/>
      <c r="AY143" s="180"/>
      <c r="AZ143" s="180"/>
      <c r="BA143" s="180"/>
      <c r="BB143" s="180"/>
      <c r="BC143" s="180"/>
      <c r="BD143" s="180"/>
      <c r="BE143" s="180"/>
      <c r="BF143" s="180"/>
      <c r="BG143" s="180"/>
      <c r="BH143" s="180"/>
      <c r="BI143" s="180"/>
      <c r="BJ143" s="180"/>
      <c r="BK143" s="180"/>
      <c r="BL143" s="180"/>
      <c r="BM143" s="180"/>
      <c r="BN143" s="180"/>
      <c r="BO143" s="180"/>
      <c r="BP143" s="180"/>
      <c r="BQ143" s="180"/>
      <c r="BR143" s="180"/>
      <c r="BS143" s="180"/>
      <c r="BT143" s="180"/>
      <c r="BU143" s="180"/>
      <c r="BV143" s="180"/>
      <c r="BW143" s="180"/>
      <c r="BX143" s="180"/>
      <c r="BY143" s="180"/>
      <c r="BZ143" s="180"/>
      <c r="CA143" s="180"/>
      <c r="CB143" s="180"/>
      <c r="CC143" s="180"/>
      <c r="CD143" s="180"/>
      <c r="CE143" s="180"/>
      <c r="CF143" s="180"/>
      <c r="CG143" s="180"/>
      <c r="CH143" s="180"/>
      <c r="CI143" s="180"/>
      <c r="CJ143" s="180"/>
      <c r="CK143" s="180"/>
      <c r="CL143" s="180"/>
      <c r="CM143" s="180"/>
      <c r="CN143" s="180"/>
      <c r="CO143" s="180"/>
      <c r="CP143" s="180"/>
      <c r="CQ143" s="180"/>
      <c r="CR143" s="180"/>
    </row>
    <row r="144" spans="1:96" s="181" customFormat="1" ht="42" customHeight="1">
      <c r="A144" s="178"/>
      <c r="B144" s="13" t="s">
        <v>143</v>
      </c>
      <c r="C144" s="182"/>
      <c r="D144" s="23">
        <f t="shared" si="22"/>
        <v>373.603</v>
      </c>
      <c r="E144" s="23">
        <f t="shared" si="23"/>
        <v>373.603</v>
      </c>
      <c r="F144" s="32"/>
      <c r="G144" s="32"/>
      <c r="H144" s="28"/>
      <c r="I144" s="23"/>
      <c r="J144" s="167">
        <f>305.603</f>
        <v>305.603</v>
      </c>
      <c r="K144" s="167">
        <f>305.603</f>
        <v>305.603</v>
      </c>
      <c r="L144" s="190">
        <v>68</v>
      </c>
      <c r="M144" s="191">
        <v>68</v>
      </c>
      <c r="N144" s="167">
        <f t="shared" si="25"/>
        <v>373.603</v>
      </c>
      <c r="O144" s="167"/>
      <c r="P144" s="187"/>
      <c r="Q144" s="187"/>
      <c r="R144" s="187"/>
      <c r="S144" s="172">
        <f t="shared" si="24"/>
        <v>0</v>
      </c>
      <c r="T144" s="187"/>
      <c r="U144" s="188"/>
      <c r="V144" s="188"/>
      <c r="W144" s="177"/>
      <c r="X144" s="180"/>
      <c r="Y144" s="180"/>
      <c r="Z144" s="180"/>
      <c r="AA144" s="180"/>
      <c r="AB144" s="180"/>
      <c r="AC144" s="180"/>
      <c r="AD144" s="180"/>
      <c r="AE144" s="180"/>
      <c r="AF144" s="180"/>
      <c r="AG144" s="180"/>
      <c r="AH144" s="180"/>
      <c r="AI144" s="180"/>
      <c r="AJ144" s="180"/>
      <c r="AK144" s="180"/>
      <c r="AL144" s="180"/>
      <c r="AM144" s="180"/>
      <c r="AN144" s="180"/>
      <c r="AO144" s="180"/>
      <c r="AP144" s="180"/>
      <c r="AQ144" s="180"/>
      <c r="AR144" s="180"/>
      <c r="AS144" s="180"/>
      <c r="AT144" s="180"/>
      <c r="AU144" s="180"/>
      <c r="AV144" s="180"/>
      <c r="AW144" s="180"/>
      <c r="AX144" s="180"/>
      <c r="AY144" s="180"/>
      <c r="AZ144" s="180"/>
      <c r="BA144" s="180"/>
      <c r="BB144" s="180"/>
      <c r="BC144" s="180"/>
      <c r="BD144" s="180"/>
      <c r="BE144" s="180"/>
      <c r="BF144" s="180"/>
      <c r="BG144" s="180"/>
      <c r="BH144" s="180"/>
      <c r="BI144" s="180"/>
      <c r="BJ144" s="180"/>
      <c r="BK144" s="180"/>
      <c r="BL144" s="180"/>
      <c r="BM144" s="180"/>
      <c r="BN144" s="180"/>
      <c r="BO144" s="180"/>
      <c r="BP144" s="180"/>
      <c r="BQ144" s="180"/>
      <c r="BR144" s="180"/>
      <c r="BS144" s="180"/>
      <c r="BT144" s="180"/>
      <c r="BU144" s="180"/>
      <c r="BV144" s="180"/>
      <c r="BW144" s="180"/>
      <c r="BX144" s="180"/>
      <c r="BY144" s="180"/>
      <c r="BZ144" s="180"/>
      <c r="CA144" s="180"/>
      <c r="CB144" s="180"/>
      <c r="CC144" s="180"/>
      <c r="CD144" s="180"/>
      <c r="CE144" s="180"/>
      <c r="CF144" s="180"/>
      <c r="CG144" s="180"/>
      <c r="CH144" s="180"/>
      <c r="CI144" s="180"/>
      <c r="CJ144" s="180"/>
      <c r="CK144" s="180"/>
      <c r="CL144" s="180"/>
      <c r="CM144" s="180"/>
      <c r="CN144" s="180"/>
      <c r="CO144" s="180"/>
      <c r="CP144" s="180"/>
      <c r="CQ144" s="180"/>
      <c r="CR144" s="180"/>
    </row>
    <row r="145" spans="1:96" s="181" customFormat="1" ht="42" customHeight="1">
      <c r="A145" s="178"/>
      <c r="B145" s="13" t="s">
        <v>755</v>
      </c>
      <c r="C145" s="182"/>
      <c r="D145" s="23">
        <f t="shared" si="22"/>
        <v>461.768</v>
      </c>
      <c r="E145" s="23">
        <f t="shared" si="23"/>
        <v>461.77</v>
      </c>
      <c r="F145" s="32"/>
      <c r="G145" s="32"/>
      <c r="H145" s="28"/>
      <c r="I145" s="23"/>
      <c r="J145" s="167">
        <f>380.768</f>
        <v>380.768</v>
      </c>
      <c r="K145" s="167">
        <f>380.768</f>
        <v>380.768</v>
      </c>
      <c r="L145" s="190">
        <v>81</v>
      </c>
      <c r="M145" s="191">
        <v>81.002</v>
      </c>
      <c r="N145" s="167">
        <f t="shared" si="25"/>
        <v>461.77</v>
      </c>
      <c r="O145" s="167"/>
      <c r="P145" s="187"/>
      <c r="Q145" s="187"/>
      <c r="R145" s="187"/>
      <c r="S145" s="172">
        <f t="shared" si="24"/>
        <v>-0.0020000000000095497</v>
      </c>
      <c r="T145" s="187"/>
      <c r="U145" s="188"/>
      <c r="V145" s="188"/>
      <c r="W145" s="177"/>
      <c r="X145" s="180"/>
      <c r="Y145" s="180"/>
      <c r="Z145" s="180"/>
      <c r="AA145" s="180"/>
      <c r="AB145" s="180"/>
      <c r="AC145" s="180"/>
      <c r="AD145" s="180"/>
      <c r="AE145" s="180"/>
      <c r="AF145" s="180"/>
      <c r="AG145" s="180"/>
      <c r="AH145" s="180"/>
      <c r="AI145" s="180"/>
      <c r="AJ145" s="180"/>
      <c r="AK145" s="180"/>
      <c r="AL145" s="180"/>
      <c r="AM145" s="180"/>
      <c r="AN145" s="180"/>
      <c r="AO145" s="180"/>
      <c r="AP145" s="180"/>
      <c r="AQ145" s="180"/>
      <c r="AR145" s="180"/>
      <c r="AS145" s="180"/>
      <c r="AT145" s="180"/>
      <c r="AU145" s="180"/>
      <c r="AV145" s="180"/>
      <c r="AW145" s="180"/>
      <c r="AX145" s="180"/>
      <c r="AY145" s="180"/>
      <c r="AZ145" s="180"/>
      <c r="BA145" s="180"/>
      <c r="BB145" s="180"/>
      <c r="BC145" s="180"/>
      <c r="BD145" s="180"/>
      <c r="BE145" s="180"/>
      <c r="BF145" s="180"/>
      <c r="BG145" s="180"/>
      <c r="BH145" s="180"/>
      <c r="BI145" s="180"/>
      <c r="BJ145" s="180"/>
      <c r="BK145" s="180"/>
      <c r="BL145" s="180"/>
      <c r="BM145" s="180"/>
      <c r="BN145" s="180"/>
      <c r="BO145" s="180"/>
      <c r="BP145" s="180"/>
      <c r="BQ145" s="180"/>
      <c r="BR145" s="180"/>
      <c r="BS145" s="180"/>
      <c r="BT145" s="180"/>
      <c r="BU145" s="180"/>
      <c r="BV145" s="180"/>
      <c r="BW145" s="180"/>
      <c r="BX145" s="180"/>
      <c r="BY145" s="180"/>
      <c r="BZ145" s="180"/>
      <c r="CA145" s="180"/>
      <c r="CB145" s="180"/>
      <c r="CC145" s="180"/>
      <c r="CD145" s="180"/>
      <c r="CE145" s="180"/>
      <c r="CF145" s="180"/>
      <c r="CG145" s="180"/>
      <c r="CH145" s="180"/>
      <c r="CI145" s="180"/>
      <c r="CJ145" s="180"/>
      <c r="CK145" s="180"/>
      <c r="CL145" s="180"/>
      <c r="CM145" s="180"/>
      <c r="CN145" s="180"/>
      <c r="CO145" s="180"/>
      <c r="CP145" s="180"/>
      <c r="CQ145" s="180"/>
      <c r="CR145" s="180"/>
    </row>
    <row r="146" spans="1:96" s="181" customFormat="1" ht="28.5" customHeight="1">
      <c r="A146" s="178"/>
      <c r="B146" s="154" t="s">
        <v>756</v>
      </c>
      <c r="C146" s="182"/>
      <c r="D146" s="23">
        <f t="shared" si="22"/>
        <v>717.634</v>
      </c>
      <c r="E146" s="23">
        <f t="shared" si="23"/>
        <v>717.634</v>
      </c>
      <c r="F146" s="32"/>
      <c r="G146" s="32"/>
      <c r="H146" s="28"/>
      <c r="I146" s="23"/>
      <c r="J146" s="23">
        <f>567.634</f>
        <v>567.634</v>
      </c>
      <c r="K146" s="23">
        <f>567.634</f>
        <v>567.634</v>
      </c>
      <c r="L146" s="190">
        <v>150</v>
      </c>
      <c r="M146" s="191">
        <v>150</v>
      </c>
      <c r="N146" s="167">
        <f t="shared" si="25"/>
        <v>717.634</v>
      </c>
      <c r="O146" s="23"/>
      <c r="P146" s="187"/>
      <c r="Q146" s="187"/>
      <c r="R146" s="187"/>
      <c r="S146" s="172">
        <f t="shared" si="24"/>
        <v>0</v>
      </c>
      <c r="T146" s="187"/>
      <c r="U146" s="188"/>
      <c r="V146" s="188"/>
      <c r="W146" s="13"/>
      <c r="X146" s="180"/>
      <c r="Y146" s="180"/>
      <c r="Z146" s="180"/>
      <c r="AA146" s="180"/>
      <c r="AB146" s="180"/>
      <c r="AC146" s="180"/>
      <c r="AD146" s="180"/>
      <c r="AE146" s="180"/>
      <c r="AF146" s="180"/>
      <c r="AG146" s="180"/>
      <c r="AH146" s="180"/>
      <c r="AI146" s="180"/>
      <c r="AJ146" s="180"/>
      <c r="AK146" s="180"/>
      <c r="AL146" s="180"/>
      <c r="AM146" s="180"/>
      <c r="AN146" s="180"/>
      <c r="AO146" s="180"/>
      <c r="AP146" s="180"/>
      <c r="AQ146" s="180"/>
      <c r="AR146" s="180"/>
      <c r="AS146" s="180"/>
      <c r="AT146" s="180"/>
      <c r="AU146" s="180"/>
      <c r="AV146" s="180"/>
      <c r="AW146" s="180"/>
      <c r="AX146" s="180"/>
      <c r="AY146" s="180"/>
      <c r="AZ146" s="180"/>
      <c r="BA146" s="180"/>
      <c r="BB146" s="180"/>
      <c r="BC146" s="180"/>
      <c r="BD146" s="180"/>
      <c r="BE146" s="180"/>
      <c r="BF146" s="180"/>
      <c r="BG146" s="180"/>
      <c r="BH146" s="180"/>
      <c r="BI146" s="180"/>
      <c r="BJ146" s="180"/>
      <c r="BK146" s="180"/>
      <c r="BL146" s="180"/>
      <c r="BM146" s="180"/>
      <c r="BN146" s="180"/>
      <c r="BO146" s="180"/>
      <c r="BP146" s="180"/>
      <c r="BQ146" s="180"/>
      <c r="BR146" s="180"/>
      <c r="BS146" s="180"/>
      <c r="BT146" s="180"/>
      <c r="BU146" s="180"/>
      <c r="BV146" s="180"/>
      <c r="BW146" s="180"/>
      <c r="BX146" s="180"/>
      <c r="BY146" s="180"/>
      <c r="BZ146" s="180"/>
      <c r="CA146" s="180"/>
      <c r="CB146" s="180"/>
      <c r="CC146" s="180"/>
      <c r="CD146" s="180"/>
      <c r="CE146" s="180"/>
      <c r="CF146" s="180"/>
      <c r="CG146" s="180"/>
      <c r="CH146" s="180"/>
      <c r="CI146" s="180"/>
      <c r="CJ146" s="180"/>
      <c r="CK146" s="180"/>
      <c r="CL146" s="180"/>
      <c r="CM146" s="180"/>
      <c r="CN146" s="180"/>
      <c r="CO146" s="180"/>
      <c r="CP146" s="180"/>
      <c r="CQ146" s="180"/>
      <c r="CR146" s="180"/>
    </row>
    <row r="147" spans="1:96" s="181" customFormat="1" ht="28.5" customHeight="1">
      <c r="A147" s="178"/>
      <c r="B147" s="154" t="s">
        <v>757</v>
      </c>
      <c r="C147" s="182"/>
      <c r="D147" s="23">
        <f t="shared" si="22"/>
        <v>303.64</v>
      </c>
      <c r="E147" s="23">
        <f t="shared" si="23"/>
        <v>303.658</v>
      </c>
      <c r="F147" s="32"/>
      <c r="G147" s="32"/>
      <c r="H147" s="28"/>
      <c r="I147" s="23"/>
      <c r="J147" s="23">
        <f>259.64</f>
        <v>259.64</v>
      </c>
      <c r="K147" s="23">
        <f>259.64</f>
        <v>259.64</v>
      </c>
      <c r="L147" s="190">
        <v>44</v>
      </c>
      <c r="M147" s="191">
        <v>44.018</v>
      </c>
      <c r="N147" s="167">
        <f t="shared" si="25"/>
        <v>303.658</v>
      </c>
      <c r="O147" s="23"/>
      <c r="P147" s="187"/>
      <c r="Q147" s="187"/>
      <c r="R147" s="187"/>
      <c r="S147" s="172">
        <f t="shared" si="24"/>
        <v>-0.018000000000029104</v>
      </c>
      <c r="T147" s="187"/>
      <c r="U147" s="188"/>
      <c r="V147" s="188"/>
      <c r="W147" s="13"/>
      <c r="X147" s="180"/>
      <c r="Y147" s="180"/>
      <c r="Z147" s="180"/>
      <c r="AA147" s="180"/>
      <c r="AB147" s="180"/>
      <c r="AC147" s="180"/>
      <c r="AD147" s="180"/>
      <c r="AE147" s="180"/>
      <c r="AF147" s="180"/>
      <c r="AG147" s="180"/>
      <c r="AH147" s="180"/>
      <c r="AI147" s="180"/>
      <c r="AJ147" s="180"/>
      <c r="AK147" s="180"/>
      <c r="AL147" s="180"/>
      <c r="AM147" s="180"/>
      <c r="AN147" s="180"/>
      <c r="AO147" s="180"/>
      <c r="AP147" s="180"/>
      <c r="AQ147" s="180"/>
      <c r="AR147" s="180"/>
      <c r="AS147" s="180"/>
      <c r="AT147" s="180"/>
      <c r="AU147" s="180"/>
      <c r="AV147" s="180"/>
      <c r="AW147" s="180"/>
      <c r="AX147" s="180"/>
      <c r="AY147" s="180"/>
      <c r="AZ147" s="180"/>
      <c r="BA147" s="180"/>
      <c r="BB147" s="180"/>
      <c r="BC147" s="180"/>
      <c r="BD147" s="180"/>
      <c r="BE147" s="180"/>
      <c r="BF147" s="180"/>
      <c r="BG147" s="180"/>
      <c r="BH147" s="180"/>
      <c r="BI147" s="180"/>
      <c r="BJ147" s="180"/>
      <c r="BK147" s="180"/>
      <c r="BL147" s="180"/>
      <c r="BM147" s="180"/>
      <c r="BN147" s="180"/>
      <c r="BO147" s="180"/>
      <c r="BP147" s="180"/>
      <c r="BQ147" s="180"/>
      <c r="BR147" s="180"/>
      <c r="BS147" s="180"/>
      <c r="BT147" s="180"/>
      <c r="BU147" s="180"/>
      <c r="BV147" s="180"/>
      <c r="BW147" s="180"/>
      <c r="BX147" s="180"/>
      <c r="BY147" s="180"/>
      <c r="BZ147" s="180"/>
      <c r="CA147" s="180"/>
      <c r="CB147" s="180"/>
      <c r="CC147" s="180"/>
      <c r="CD147" s="180"/>
      <c r="CE147" s="180"/>
      <c r="CF147" s="180"/>
      <c r="CG147" s="180"/>
      <c r="CH147" s="180"/>
      <c r="CI147" s="180"/>
      <c r="CJ147" s="180"/>
      <c r="CK147" s="180"/>
      <c r="CL147" s="180"/>
      <c r="CM147" s="180"/>
      <c r="CN147" s="180"/>
      <c r="CO147" s="180"/>
      <c r="CP147" s="180"/>
      <c r="CQ147" s="180"/>
      <c r="CR147" s="180"/>
    </row>
    <row r="148" spans="1:96" s="181" customFormat="1" ht="28.5" customHeight="1">
      <c r="A148" s="178"/>
      <c r="B148" s="154" t="s">
        <v>758</v>
      </c>
      <c r="C148" s="182"/>
      <c r="D148" s="23">
        <f t="shared" si="22"/>
        <v>382</v>
      </c>
      <c r="E148" s="23">
        <f t="shared" si="23"/>
        <v>451.45000000000005</v>
      </c>
      <c r="F148" s="32"/>
      <c r="G148" s="32"/>
      <c r="H148" s="28"/>
      <c r="I148" s="23"/>
      <c r="J148" s="23"/>
      <c r="K148" s="23"/>
      <c r="L148" s="23">
        <v>382</v>
      </c>
      <c r="M148" s="23">
        <f>379.449+72.001</f>
        <v>451.45000000000005</v>
      </c>
      <c r="N148" s="167">
        <f t="shared" si="25"/>
        <v>451.45000000000005</v>
      </c>
      <c r="O148" s="23"/>
      <c r="P148" s="187"/>
      <c r="Q148" s="187"/>
      <c r="R148" s="187"/>
      <c r="S148" s="172"/>
      <c r="T148" s="187"/>
      <c r="U148" s="188"/>
      <c r="V148" s="188"/>
      <c r="W148" s="13"/>
      <c r="X148" s="180"/>
      <c r="Y148" s="180"/>
      <c r="Z148" s="180"/>
      <c r="AA148" s="180"/>
      <c r="AB148" s="180"/>
      <c r="AC148" s="180"/>
      <c r="AD148" s="180"/>
      <c r="AE148" s="180"/>
      <c r="AF148" s="180"/>
      <c r="AG148" s="180"/>
      <c r="AH148" s="180"/>
      <c r="AI148" s="180"/>
      <c r="AJ148" s="180"/>
      <c r="AK148" s="180"/>
      <c r="AL148" s="180"/>
      <c r="AM148" s="180"/>
      <c r="AN148" s="180"/>
      <c r="AO148" s="180"/>
      <c r="AP148" s="180"/>
      <c r="AQ148" s="180"/>
      <c r="AR148" s="180"/>
      <c r="AS148" s="180"/>
      <c r="AT148" s="180"/>
      <c r="AU148" s="180"/>
      <c r="AV148" s="180"/>
      <c r="AW148" s="180"/>
      <c r="AX148" s="180"/>
      <c r="AY148" s="180"/>
      <c r="AZ148" s="180"/>
      <c r="BA148" s="180"/>
      <c r="BB148" s="180"/>
      <c r="BC148" s="180"/>
      <c r="BD148" s="180"/>
      <c r="BE148" s="180"/>
      <c r="BF148" s="180"/>
      <c r="BG148" s="180"/>
      <c r="BH148" s="180"/>
      <c r="BI148" s="180"/>
      <c r="BJ148" s="180"/>
      <c r="BK148" s="180"/>
      <c r="BL148" s="180"/>
      <c r="BM148" s="180"/>
      <c r="BN148" s="180"/>
      <c r="BO148" s="180"/>
      <c r="BP148" s="180"/>
      <c r="BQ148" s="180"/>
      <c r="BR148" s="180"/>
      <c r="BS148" s="180"/>
      <c r="BT148" s="180"/>
      <c r="BU148" s="180"/>
      <c r="BV148" s="180"/>
      <c r="BW148" s="180"/>
      <c r="BX148" s="180"/>
      <c r="BY148" s="180"/>
      <c r="BZ148" s="180"/>
      <c r="CA148" s="180"/>
      <c r="CB148" s="180"/>
      <c r="CC148" s="180"/>
      <c r="CD148" s="180"/>
      <c r="CE148" s="180"/>
      <c r="CF148" s="180"/>
      <c r="CG148" s="180"/>
      <c r="CH148" s="180"/>
      <c r="CI148" s="180"/>
      <c r="CJ148" s="180"/>
      <c r="CK148" s="180"/>
      <c r="CL148" s="180"/>
      <c r="CM148" s="180"/>
      <c r="CN148" s="180"/>
      <c r="CO148" s="180"/>
      <c r="CP148" s="180"/>
      <c r="CQ148" s="180"/>
      <c r="CR148" s="180"/>
    </row>
    <row r="149" spans="2:97" s="40" customFormat="1" ht="35.25" customHeight="1">
      <c r="B149" s="40" t="s">
        <v>145</v>
      </c>
      <c r="C149" s="3"/>
      <c r="D149" s="24">
        <f t="shared" si="22"/>
        <v>1574.881</v>
      </c>
      <c r="E149" s="24">
        <f t="shared" si="23"/>
        <v>1566.068</v>
      </c>
      <c r="F149" s="192">
        <f>F151</f>
        <v>260.251</v>
      </c>
      <c r="G149" s="193">
        <v>260.251</v>
      </c>
      <c r="H149" s="163">
        <f>H151+H155</f>
        <v>350.731</v>
      </c>
      <c r="I149" s="24">
        <f>I151+I155</f>
        <v>350.731</v>
      </c>
      <c r="J149" s="24">
        <f>J151+J152+J155+J157+J158</f>
        <v>624.527</v>
      </c>
      <c r="K149" s="24">
        <f>K151+K152+K155+K157+K158</f>
        <v>624.527</v>
      </c>
      <c r="L149" s="3">
        <f>L151+L152+L155+L157+L158+L153</f>
        <v>339.372</v>
      </c>
      <c r="M149" s="3">
        <f>M151+M152+M155+M157+M158+M153</f>
        <v>330.55899999999997</v>
      </c>
      <c r="N149" s="3">
        <f>N151+N152+N155+N157+N158+N153</f>
        <v>1566.068</v>
      </c>
      <c r="O149" s="3"/>
      <c r="P149" s="165"/>
      <c r="Q149" s="165"/>
      <c r="R149" s="165"/>
      <c r="S149" s="24">
        <f>S151+S152+S155+S157+S158</f>
        <v>3.5989999999999895</v>
      </c>
      <c r="T149" s="165"/>
      <c r="X149" s="175"/>
      <c r="Y149" s="175"/>
      <c r="Z149" s="175"/>
      <c r="AA149" s="175"/>
      <c r="AB149" s="175"/>
      <c r="AC149" s="175"/>
      <c r="AD149" s="175"/>
      <c r="AE149" s="175"/>
      <c r="AF149" s="175"/>
      <c r="AG149" s="175"/>
      <c r="AH149" s="175"/>
      <c r="AI149" s="175"/>
      <c r="AJ149" s="175"/>
      <c r="AK149" s="175"/>
      <c r="AL149" s="175"/>
      <c r="AM149" s="175"/>
      <c r="AN149" s="175"/>
      <c r="AO149" s="175"/>
      <c r="AP149" s="175"/>
      <c r="AQ149" s="175"/>
      <c r="AR149" s="175"/>
      <c r="AS149" s="175"/>
      <c r="AT149" s="175"/>
      <c r="AU149" s="175"/>
      <c r="AV149" s="175"/>
      <c r="AW149" s="175"/>
      <c r="AX149" s="175"/>
      <c r="AY149" s="175"/>
      <c r="AZ149" s="175"/>
      <c r="BA149" s="175"/>
      <c r="BB149" s="175"/>
      <c r="BC149" s="175"/>
      <c r="BD149" s="175"/>
      <c r="BE149" s="175"/>
      <c r="BF149" s="175"/>
      <c r="BG149" s="175"/>
      <c r="BH149" s="175"/>
      <c r="BI149" s="175"/>
      <c r="BJ149" s="175"/>
      <c r="BK149" s="175"/>
      <c r="BL149" s="175"/>
      <c r="BM149" s="175"/>
      <c r="BN149" s="175"/>
      <c r="BO149" s="175"/>
      <c r="BP149" s="175"/>
      <c r="BQ149" s="175"/>
      <c r="BR149" s="175"/>
      <c r="BS149" s="175"/>
      <c r="BT149" s="175"/>
      <c r="BU149" s="175"/>
      <c r="BV149" s="175"/>
      <c r="BW149" s="175"/>
      <c r="BX149" s="175"/>
      <c r="BY149" s="175"/>
      <c r="BZ149" s="175"/>
      <c r="CA149" s="175"/>
      <c r="CB149" s="175"/>
      <c r="CC149" s="175"/>
      <c r="CD149" s="175"/>
      <c r="CE149" s="175"/>
      <c r="CF149" s="175"/>
      <c r="CG149" s="175"/>
      <c r="CH149" s="175"/>
      <c r="CI149" s="175"/>
      <c r="CJ149" s="175"/>
      <c r="CK149" s="175"/>
      <c r="CL149" s="175"/>
      <c r="CM149" s="175"/>
      <c r="CN149" s="175"/>
      <c r="CO149" s="175"/>
      <c r="CP149" s="175"/>
      <c r="CQ149" s="175"/>
      <c r="CR149" s="175"/>
      <c r="CS149" s="176"/>
    </row>
    <row r="150" spans="2:97" s="194" customFormat="1" ht="16.5" customHeight="1">
      <c r="B150" s="40" t="s">
        <v>759</v>
      </c>
      <c r="C150" s="195"/>
      <c r="D150" s="196"/>
      <c r="E150" s="196"/>
      <c r="F150" s="155"/>
      <c r="G150" s="196"/>
      <c r="H150" s="34"/>
      <c r="I150" s="8"/>
      <c r="J150" s="8"/>
      <c r="K150" s="8"/>
      <c r="L150" s="8"/>
      <c r="M150" s="141"/>
      <c r="N150" s="48"/>
      <c r="O150" s="196"/>
      <c r="P150" s="165"/>
      <c r="Q150" s="165"/>
      <c r="R150" s="197"/>
      <c r="S150" s="153"/>
      <c r="T150" s="197"/>
      <c r="W150" s="177"/>
      <c r="X150" s="198"/>
      <c r="Y150" s="198"/>
      <c r="Z150" s="198"/>
      <c r="AA150" s="198"/>
      <c r="AB150" s="198"/>
      <c r="AC150" s="198"/>
      <c r="AD150" s="198"/>
      <c r="AE150" s="198"/>
      <c r="AF150" s="198"/>
      <c r="AG150" s="198"/>
      <c r="AH150" s="198"/>
      <c r="AI150" s="198"/>
      <c r="AJ150" s="198"/>
      <c r="AK150" s="198"/>
      <c r="AL150" s="198"/>
      <c r="AM150" s="198"/>
      <c r="AN150" s="198"/>
      <c r="AO150" s="198"/>
      <c r="AP150" s="198"/>
      <c r="AQ150" s="198"/>
      <c r="AR150" s="198"/>
      <c r="AS150" s="198"/>
      <c r="AT150" s="198"/>
      <c r="AU150" s="198"/>
      <c r="AV150" s="198"/>
      <c r="AW150" s="198"/>
      <c r="AX150" s="198"/>
      <c r="AY150" s="198"/>
      <c r="AZ150" s="19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  <c r="BZ150" s="198"/>
      <c r="CA150" s="198"/>
      <c r="CB150" s="198"/>
      <c r="CC150" s="198"/>
      <c r="CD150" s="198"/>
      <c r="CE150" s="198"/>
      <c r="CF150" s="198"/>
      <c r="CG150" s="198"/>
      <c r="CH150" s="198"/>
      <c r="CI150" s="198"/>
      <c r="CJ150" s="198"/>
      <c r="CK150" s="198"/>
      <c r="CL150" s="198"/>
      <c r="CM150" s="198"/>
      <c r="CN150" s="198"/>
      <c r="CO150" s="198"/>
      <c r="CP150" s="198"/>
      <c r="CQ150" s="198"/>
      <c r="CR150" s="198"/>
      <c r="CS150" s="199"/>
    </row>
    <row r="151" spans="1:97" s="40" customFormat="1" ht="43.5" customHeight="1">
      <c r="A151" s="200"/>
      <c r="B151" s="154" t="s">
        <v>760</v>
      </c>
      <c r="C151" s="192"/>
      <c r="D151" s="23">
        <f aca="true" t="shared" si="26" ref="D151:E153">F151+H151+J151+L151</f>
        <v>260.251</v>
      </c>
      <c r="E151" s="23">
        <f t="shared" si="26"/>
        <v>260.251</v>
      </c>
      <c r="F151" s="196">
        <v>260.251</v>
      </c>
      <c r="G151" s="196">
        <v>260.251</v>
      </c>
      <c r="H151" s="34"/>
      <c r="I151" s="8"/>
      <c r="J151" s="8"/>
      <c r="K151" s="8"/>
      <c r="L151" s="8"/>
      <c r="M151" s="141"/>
      <c r="N151" s="23">
        <f>D151</f>
        <v>260.251</v>
      </c>
      <c r="O151" s="196"/>
      <c r="P151" s="152"/>
      <c r="Q151" s="152"/>
      <c r="R151" s="165"/>
      <c r="S151" s="172">
        <f>D151-E151</f>
        <v>0</v>
      </c>
      <c r="T151" s="165"/>
      <c r="W151" s="177"/>
      <c r="X151" s="175"/>
      <c r="Y151" s="175"/>
      <c r="Z151" s="175"/>
      <c r="AA151" s="175"/>
      <c r="AB151" s="175"/>
      <c r="AC151" s="175"/>
      <c r="AD151" s="175"/>
      <c r="AE151" s="175"/>
      <c r="AF151" s="175"/>
      <c r="AG151" s="175"/>
      <c r="AH151" s="175"/>
      <c r="AI151" s="175"/>
      <c r="AJ151" s="175"/>
      <c r="AK151" s="175"/>
      <c r="AL151" s="175"/>
      <c r="AM151" s="175"/>
      <c r="AN151" s="175"/>
      <c r="AO151" s="175"/>
      <c r="AP151" s="175"/>
      <c r="AQ151" s="175"/>
      <c r="AR151" s="175"/>
      <c r="AS151" s="175"/>
      <c r="AT151" s="175"/>
      <c r="AU151" s="175"/>
      <c r="AV151" s="175"/>
      <c r="AW151" s="175"/>
      <c r="AX151" s="175"/>
      <c r="AY151" s="175"/>
      <c r="AZ151" s="175"/>
      <c r="BA151" s="175"/>
      <c r="BB151" s="175"/>
      <c r="BC151" s="175"/>
      <c r="BD151" s="175"/>
      <c r="BE151" s="175"/>
      <c r="BF151" s="175"/>
      <c r="BG151" s="175"/>
      <c r="BH151" s="175"/>
      <c r="BI151" s="175"/>
      <c r="BJ151" s="175"/>
      <c r="BK151" s="175"/>
      <c r="BL151" s="175"/>
      <c r="BM151" s="175"/>
      <c r="BN151" s="175"/>
      <c r="BO151" s="175"/>
      <c r="BP151" s="175"/>
      <c r="BQ151" s="175"/>
      <c r="BR151" s="175"/>
      <c r="BS151" s="175"/>
      <c r="BT151" s="175"/>
      <c r="BU151" s="175"/>
      <c r="BV151" s="175"/>
      <c r="BW151" s="175"/>
      <c r="BX151" s="175"/>
      <c r="BY151" s="175"/>
      <c r="BZ151" s="175"/>
      <c r="CA151" s="175"/>
      <c r="CB151" s="175"/>
      <c r="CC151" s="175"/>
      <c r="CD151" s="175"/>
      <c r="CE151" s="175"/>
      <c r="CF151" s="175"/>
      <c r="CG151" s="175"/>
      <c r="CH151" s="175"/>
      <c r="CI151" s="175"/>
      <c r="CJ151" s="175"/>
      <c r="CK151" s="175"/>
      <c r="CL151" s="175"/>
      <c r="CM151" s="175"/>
      <c r="CN151" s="175"/>
      <c r="CO151" s="175"/>
      <c r="CP151" s="175"/>
      <c r="CQ151" s="175"/>
      <c r="CR151" s="175"/>
      <c r="CS151" s="176"/>
    </row>
    <row r="152" spans="1:97" s="40" customFormat="1" ht="43.5" customHeight="1">
      <c r="A152" s="200"/>
      <c r="B152" s="154" t="s">
        <v>761</v>
      </c>
      <c r="C152" s="200"/>
      <c r="D152" s="142">
        <f t="shared" si="26"/>
        <v>343.036</v>
      </c>
      <c r="E152" s="142">
        <f t="shared" si="26"/>
        <v>339.437</v>
      </c>
      <c r="F152" s="201"/>
      <c r="G152" s="196"/>
      <c r="H152" s="202"/>
      <c r="I152" s="177"/>
      <c r="J152" s="167">
        <f>317.684</f>
        <v>317.684</v>
      </c>
      <c r="K152" s="167">
        <f>317.684</f>
        <v>317.684</v>
      </c>
      <c r="L152" s="110">
        <v>25.352</v>
      </c>
      <c r="M152" s="141">
        <v>21.753</v>
      </c>
      <c r="N152" s="23">
        <f>E152</f>
        <v>339.437</v>
      </c>
      <c r="O152" s="196"/>
      <c r="P152" s="152"/>
      <c r="Q152" s="152"/>
      <c r="R152" s="165"/>
      <c r="S152" s="172">
        <f>D152-E152</f>
        <v>3.5989999999999895</v>
      </c>
      <c r="T152" s="165"/>
      <c r="W152" s="177" t="s">
        <v>762</v>
      </c>
      <c r="X152" s="175"/>
      <c r="Y152" s="175"/>
      <c r="Z152" s="175"/>
      <c r="AA152" s="175"/>
      <c r="AB152" s="175"/>
      <c r="AC152" s="175"/>
      <c r="AD152" s="175"/>
      <c r="AE152" s="175"/>
      <c r="AF152" s="175"/>
      <c r="AG152" s="175"/>
      <c r="AH152" s="175"/>
      <c r="AI152" s="175"/>
      <c r="AJ152" s="175"/>
      <c r="AK152" s="175"/>
      <c r="AL152" s="175"/>
      <c r="AM152" s="175"/>
      <c r="AN152" s="175"/>
      <c r="AO152" s="175"/>
      <c r="AP152" s="175"/>
      <c r="AQ152" s="175"/>
      <c r="AR152" s="175"/>
      <c r="AS152" s="175"/>
      <c r="AT152" s="175"/>
      <c r="AU152" s="175"/>
      <c r="AV152" s="175"/>
      <c r="AW152" s="175"/>
      <c r="AX152" s="175"/>
      <c r="AY152" s="175"/>
      <c r="AZ152" s="175"/>
      <c r="BA152" s="175"/>
      <c r="BB152" s="175"/>
      <c r="BC152" s="175"/>
      <c r="BD152" s="175"/>
      <c r="BE152" s="175"/>
      <c r="BF152" s="175"/>
      <c r="BG152" s="175"/>
      <c r="BH152" s="175"/>
      <c r="BI152" s="175"/>
      <c r="BJ152" s="175"/>
      <c r="BK152" s="175"/>
      <c r="BL152" s="175"/>
      <c r="BM152" s="175"/>
      <c r="BN152" s="175"/>
      <c r="BO152" s="175"/>
      <c r="BP152" s="175"/>
      <c r="BQ152" s="175"/>
      <c r="BR152" s="175"/>
      <c r="BS152" s="175"/>
      <c r="BT152" s="175"/>
      <c r="BU152" s="175"/>
      <c r="BV152" s="175"/>
      <c r="BW152" s="175"/>
      <c r="BX152" s="175"/>
      <c r="BY152" s="175"/>
      <c r="BZ152" s="175"/>
      <c r="CA152" s="175"/>
      <c r="CB152" s="175"/>
      <c r="CC152" s="175"/>
      <c r="CD152" s="175"/>
      <c r="CE152" s="175"/>
      <c r="CF152" s="175"/>
      <c r="CG152" s="175"/>
      <c r="CH152" s="175"/>
      <c r="CI152" s="175"/>
      <c r="CJ152" s="175"/>
      <c r="CK152" s="175"/>
      <c r="CL152" s="175"/>
      <c r="CM152" s="175"/>
      <c r="CN152" s="175"/>
      <c r="CO152" s="175"/>
      <c r="CP152" s="175"/>
      <c r="CQ152" s="175"/>
      <c r="CR152" s="175"/>
      <c r="CS152" s="176"/>
    </row>
    <row r="153" spans="1:97" s="40" customFormat="1" ht="43.5" customHeight="1">
      <c r="A153" s="200"/>
      <c r="B153" s="154" t="s">
        <v>763</v>
      </c>
      <c r="C153" s="200"/>
      <c r="D153" s="142">
        <f t="shared" si="26"/>
        <v>240</v>
      </c>
      <c r="E153" s="142">
        <f t="shared" si="26"/>
        <v>234.786</v>
      </c>
      <c r="F153" s="201"/>
      <c r="G153" s="196"/>
      <c r="H153" s="202"/>
      <c r="I153" s="177"/>
      <c r="J153" s="167"/>
      <c r="K153" s="167"/>
      <c r="L153" s="110">
        <v>240</v>
      </c>
      <c r="M153" s="141">
        <f>40+194.786</f>
        <v>234.786</v>
      </c>
      <c r="N153" s="23">
        <f>E153</f>
        <v>234.786</v>
      </c>
      <c r="O153" s="196"/>
      <c r="P153" s="152"/>
      <c r="Q153" s="152"/>
      <c r="R153" s="165"/>
      <c r="S153" s="172">
        <f>D153-E153</f>
        <v>5.213999999999999</v>
      </c>
      <c r="T153" s="165"/>
      <c r="W153" s="8" t="s">
        <v>740</v>
      </c>
      <c r="X153" s="175"/>
      <c r="Y153" s="175"/>
      <c r="Z153" s="175"/>
      <c r="AA153" s="175"/>
      <c r="AB153" s="175"/>
      <c r="AC153" s="175"/>
      <c r="AD153" s="175"/>
      <c r="AE153" s="175"/>
      <c r="AF153" s="175"/>
      <c r="AG153" s="175"/>
      <c r="AH153" s="175"/>
      <c r="AI153" s="175"/>
      <c r="AJ153" s="175"/>
      <c r="AK153" s="175"/>
      <c r="AL153" s="175"/>
      <c r="AM153" s="175"/>
      <c r="AN153" s="175"/>
      <c r="AO153" s="175"/>
      <c r="AP153" s="175"/>
      <c r="AQ153" s="175"/>
      <c r="AR153" s="175"/>
      <c r="AS153" s="175"/>
      <c r="AT153" s="175"/>
      <c r="AU153" s="175"/>
      <c r="AV153" s="175"/>
      <c r="AW153" s="175"/>
      <c r="AX153" s="175"/>
      <c r="AY153" s="175"/>
      <c r="AZ153" s="175"/>
      <c r="BA153" s="175"/>
      <c r="BB153" s="175"/>
      <c r="BC153" s="175"/>
      <c r="BD153" s="175"/>
      <c r="BE153" s="175"/>
      <c r="BF153" s="175"/>
      <c r="BG153" s="175"/>
      <c r="BH153" s="175"/>
      <c r="BI153" s="175"/>
      <c r="BJ153" s="175"/>
      <c r="BK153" s="175"/>
      <c r="BL153" s="175"/>
      <c r="BM153" s="175"/>
      <c r="BN153" s="175"/>
      <c r="BO153" s="175"/>
      <c r="BP153" s="175"/>
      <c r="BQ153" s="175"/>
      <c r="BR153" s="175"/>
      <c r="BS153" s="175"/>
      <c r="BT153" s="175"/>
      <c r="BU153" s="175"/>
      <c r="BV153" s="175"/>
      <c r="BW153" s="175"/>
      <c r="BX153" s="175"/>
      <c r="BY153" s="175"/>
      <c r="BZ153" s="175"/>
      <c r="CA153" s="175"/>
      <c r="CB153" s="175"/>
      <c r="CC153" s="175"/>
      <c r="CD153" s="175"/>
      <c r="CE153" s="175"/>
      <c r="CF153" s="175"/>
      <c r="CG153" s="175"/>
      <c r="CH153" s="175"/>
      <c r="CI153" s="175"/>
      <c r="CJ153" s="175"/>
      <c r="CK153" s="175"/>
      <c r="CL153" s="175"/>
      <c r="CM153" s="175"/>
      <c r="CN153" s="175"/>
      <c r="CO153" s="175"/>
      <c r="CP153" s="175"/>
      <c r="CQ153" s="175"/>
      <c r="CR153" s="175"/>
      <c r="CS153" s="176"/>
    </row>
    <row r="154" spans="2:97" s="40" customFormat="1" ht="16.5" customHeight="1">
      <c r="B154" s="40" t="s">
        <v>764</v>
      </c>
      <c r="C154" s="3"/>
      <c r="D154" s="23"/>
      <c r="E154" s="8"/>
      <c r="F154" s="8"/>
      <c r="G154" s="8"/>
      <c r="H154" s="8"/>
      <c r="I154" s="8"/>
      <c r="J154" s="8"/>
      <c r="K154" s="8"/>
      <c r="L154" s="8"/>
      <c r="M154" s="141"/>
      <c r="N154" s="8"/>
      <c r="O154" s="23"/>
      <c r="P154" s="165"/>
      <c r="Q154" s="165"/>
      <c r="R154" s="165"/>
      <c r="S154" s="153"/>
      <c r="T154" s="165"/>
      <c r="W154" s="177"/>
      <c r="X154" s="175"/>
      <c r="Y154" s="175"/>
      <c r="Z154" s="175"/>
      <c r="AA154" s="175"/>
      <c r="AB154" s="175"/>
      <c r="AC154" s="175"/>
      <c r="AD154" s="175"/>
      <c r="AE154" s="175"/>
      <c r="AF154" s="175"/>
      <c r="AG154" s="175"/>
      <c r="AH154" s="175"/>
      <c r="AI154" s="175"/>
      <c r="AJ154" s="175"/>
      <c r="AK154" s="175"/>
      <c r="AL154" s="175"/>
      <c r="AM154" s="175"/>
      <c r="AN154" s="175"/>
      <c r="AO154" s="175"/>
      <c r="AP154" s="175"/>
      <c r="AQ154" s="175"/>
      <c r="AR154" s="175"/>
      <c r="AS154" s="175"/>
      <c r="AT154" s="175"/>
      <c r="AU154" s="175"/>
      <c r="AV154" s="175"/>
      <c r="AW154" s="175"/>
      <c r="AX154" s="175"/>
      <c r="AY154" s="175"/>
      <c r="AZ154" s="175"/>
      <c r="BA154" s="175"/>
      <c r="BB154" s="175"/>
      <c r="BC154" s="175"/>
      <c r="BD154" s="175"/>
      <c r="BE154" s="175"/>
      <c r="BF154" s="175"/>
      <c r="BG154" s="175"/>
      <c r="BH154" s="175"/>
      <c r="BI154" s="175"/>
      <c r="BJ154" s="175"/>
      <c r="BK154" s="175"/>
      <c r="BL154" s="175"/>
      <c r="BM154" s="175"/>
      <c r="BN154" s="175"/>
      <c r="BO154" s="175"/>
      <c r="BP154" s="175"/>
      <c r="BQ154" s="175"/>
      <c r="BR154" s="175"/>
      <c r="BS154" s="175"/>
      <c r="BT154" s="175"/>
      <c r="BU154" s="175"/>
      <c r="BV154" s="175"/>
      <c r="BW154" s="175"/>
      <c r="BX154" s="175"/>
      <c r="BY154" s="175"/>
      <c r="BZ154" s="175"/>
      <c r="CA154" s="175"/>
      <c r="CB154" s="175"/>
      <c r="CC154" s="175"/>
      <c r="CD154" s="175"/>
      <c r="CE154" s="175"/>
      <c r="CF154" s="175"/>
      <c r="CG154" s="175"/>
      <c r="CH154" s="175"/>
      <c r="CI154" s="175"/>
      <c r="CJ154" s="175"/>
      <c r="CK154" s="175"/>
      <c r="CL154" s="175"/>
      <c r="CM154" s="175"/>
      <c r="CN154" s="175"/>
      <c r="CO154" s="175"/>
      <c r="CP154" s="175"/>
      <c r="CQ154" s="175"/>
      <c r="CR154" s="175"/>
      <c r="CS154" s="176"/>
    </row>
    <row r="155" spans="2:97" s="40" customFormat="1" ht="42" customHeight="1">
      <c r="B155" s="154" t="s">
        <v>765</v>
      </c>
      <c r="C155" s="3"/>
      <c r="D155" s="23">
        <f>F155+H155+J155+L155</f>
        <v>350.731</v>
      </c>
      <c r="E155" s="23">
        <f>G155+I155+K155+M155</f>
        <v>350.731</v>
      </c>
      <c r="F155" s="8"/>
      <c r="G155" s="8"/>
      <c r="H155" s="23">
        <v>350.731</v>
      </c>
      <c r="I155" s="23">
        <v>350.731</v>
      </c>
      <c r="J155" s="8"/>
      <c r="K155" s="8"/>
      <c r="L155" s="8"/>
      <c r="M155" s="141"/>
      <c r="N155" s="23">
        <f>D155</f>
        <v>350.731</v>
      </c>
      <c r="O155" s="196"/>
      <c r="P155" s="165"/>
      <c r="Q155" s="165"/>
      <c r="R155" s="165"/>
      <c r="S155" s="172">
        <f>D155-E155</f>
        <v>0</v>
      </c>
      <c r="T155" s="165"/>
      <c r="W155" s="177"/>
      <c r="X155" s="175"/>
      <c r="Y155" s="175"/>
      <c r="Z155" s="175"/>
      <c r="AA155" s="175"/>
      <c r="AB155" s="175"/>
      <c r="AC155" s="175"/>
      <c r="AD155" s="175"/>
      <c r="AE155" s="175"/>
      <c r="AF155" s="175"/>
      <c r="AG155" s="175"/>
      <c r="AH155" s="175"/>
      <c r="AI155" s="175"/>
      <c r="AJ155" s="175"/>
      <c r="AK155" s="175"/>
      <c r="AL155" s="175"/>
      <c r="AM155" s="175"/>
      <c r="AN155" s="175"/>
      <c r="AO155" s="175"/>
      <c r="AP155" s="175"/>
      <c r="AQ155" s="175"/>
      <c r="AR155" s="175"/>
      <c r="AS155" s="175"/>
      <c r="AT155" s="175"/>
      <c r="AU155" s="175"/>
      <c r="AV155" s="175"/>
      <c r="AW155" s="175"/>
      <c r="AX155" s="175"/>
      <c r="AY155" s="175"/>
      <c r="AZ155" s="175"/>
      <c r="BA155" s="175"/>
      <c r="BB155" s="175"/>
      <c r="BC155" s="175"/>
      <c r="BD155" s="175"/>
      <c r="BE155" s="175"/>
      <c r="BF155" s="175"/>
      <c r="BG155" s="175"/>
      <c r="BH155" s="175"/>
      <c r="BI155" s="175"/>
      <c r="BJ155" s="175"/>
      <c r="BK155" s="175"/>
      <c r="BL155" s="175"/>
      <c r="BM155" s="175"/>
      <c r="BN155" s="175"/>
      <c r="BO155" s="175"/>
      <c r="BP155" s="175"/>
      <c r="BQ155" s="175"/>
      <c r="BR155" s="175"/>
      <c r="BS155" s="175"/>
      <c r="BT155" s="175"/>
      <c r="BU155" s="175"/>
      <c r="BV155" s="175"/>
      <c r="BW155" s="175"/>
      <c r="BX155" s="175"/>
      <c r="BY155" s="175"/>
      <c r="BZ155" s="175"/>
      <c r="CA155" s="175"/>
      <c r="CB155" s="175"/>
      <c r="CC155" s="175"/>
      <c r="CD155" s="175"/>
      <c r="CE155" s="175"/>
      <c r="CF155" s="175"/>
      <c r="CG155" s="175"/>
      <c r="CH155" s="175"/>
      <c r="CI155" s="175"/>
      <c r="CJ155" s="175"/>
      <c r="CK155" s="175"/>
      <c r="CL155" s="175"/>
      <c r="CM155" s="175"/>
      <c r="CN155" s="175"/>
      <c r="CO155" s="175"/>
      <c r="CP155" s="175"/>
      <c r="CQ155" s="175"/>
      <c r="CR155" s="175"/>
      <c r="CS155" s="176"/>
    </row>
    <row r="156" spans="2:97" s="40" customFormat="1" ht="18.75" customHeight="1">
      <c r="B156" s="40" t="s">
        <v>766</v>
      </c>
      <c r="D156" s="142"/>
      <c r="E156" s="142"/>
      <c r="F156" s="8"/>
      <c r="G156" s="8"/>
      <c r="H156" s="203"/>
      <c r="I156" s="23"/>
      <c r="J156" s="189"/>
      <c r="K156" s="189"/>
      <c r="L156" s="8"/>
      <c r="M156" s="141"/>
      <c r="N156" s="8"/>
      <c r="O156" s="23"/>
      <c r="P156" s="165"/>
      <c r="Q156" s="165"/>
      <c r="R156" s="165"/>
      <c r="S156" s="153"/>
      <c r="T156" s="165"/>
      <c r="W156" s="177"/>
      <c r="X156" s="175"/>
      <c r="Y156" s="175"/>
      <c r="Z156" s="175"/>
      <c r="AA156" s="175"/>
      <c r="AB156" s="175"/>
      <c r="AC156" s="175"/>
      <c r="AD156" s="175"/>
      <c r="AE156" s="175"/>
      <c r="AF156" s="175"/>
      <c r="AG156" s="175"/>
      <c r="AH156" s="175"/>
      <c r="AI156" s="175"/>
      <c r="AJ156" s="175"/>
      <c r="AK156" s="175"/>
      <c r="AL156" s="175"/>
      <c r="AM156" s="175"/>
      <c r="AN156" s="175"/>
      <c r="AO156" s="175"/>
      <c r="AP156" s="175"/>
      <c r="AQ156" s="175"/>
      <c r="AR156" s="175"/>
      <c r="AS156" s="175"/>
      <c r="AT156" s="175"/>
      <c r="AU156" s="175"/>
      <c r="AV156" s="175"/>
      <c r="AW156" s="175"/>
      <c r="AX156" s="175"/>
      <c r="AY156" s="175"/>
      <c r="AZ156" s="175"/>
      <c r="BA156" s="175"/>
      <c r="BB156" s="175"/>
      <c r="BC156" s="175"/>
      <c r="BD156" s="175"/>
      <c r="BE156" s="175"/>
      <c r="BF156" s="175"/>
      <c r="BG156" s="175"/>
      <c r="BH156" s="175"/>
      <c r="BI156" s="175"/>
      <c r="BJ156" s="175"/>
      <c r="BK156" s="175"/>
      <c r="BL156" s="175"/>
      <c r="BM156" s="175"/>
      <c r="BN156" s="175"/>
      <c r="BO156" s="175"/>
      <c r="BP156" s="175"/>
      <c r="BQ156" s="175"/>
      <c r="BR156" s="175"/>
      <c r="BS156" s="175"/>
      <c r="BT156" s="175"/>
      <c r="BU156" s="175"/>
      <c r="BV156" s="175"/>
      <c r="BW156" s="175"/>
      <c r="BX156" s="175"/>
      <c r="BY156" s="175"/>
      <c r="BZ156" s="175"/>
      <c r="CA156" s="175"/>
      <c r="CB156" s="175"/>
      <c r="CC156" s="175"/>
      <c r="CD156" s="175"/>
      <c r="CE156" s="175"/>
      <c r="CF156" s="175"/>
      <c r="CG156" s="175"/>
      <c r="CH156" s="175"/>
      <c r="CI156" s="175"/>
      <c r="CJ156" s="175"/>
      <c r="CK156" s="175"/>
      <c r="CL156" s="175"/>
      <c r="CM156" s="175"/>
      <c r="CN156" s="175"/>
      <c r="CO156" s="175"/>
      <c r="CP156" s="175"/>
      <c r="CQ156" s="175"/>
      <c r="CR156" s="175"/>
      <c r="CS156" s="176"/>
    </row>
    <row r="157" spans="2:97" s="40" customFormat="1" ht="42" customHeight="1">
      <c r="B157" s="154" t="s">
        <v>767</v>
      </c>
      <c r="C157" s="8"/>
      <c r="D157" s="142">
        <f aca="true" t="shared" si="27" ref="D157:E159">F157+H157+J157+L157</f>
        <v>222.747</v>
      </c>
      <c r="E157" s="142">
        <f t="shared" si="27"/>
        <v>222.747</v>
      </c>
      <c r="F157" s="3"/>
      <c r="G157" s="3"/>
      <c r="H157" s="3"/>
      <c r="I157" s="3"/>
      <c r="J157" s="23">
        <f>178.729</f>
        <v>178.729</v>
      </c>
      <c r="K157" s="23">
        <f>178.729</f>
        <v>178.729</v>
      </c>
      <c r="L157" s="8">
        <v>44.018</v>
      </c>
      <c r="M157" s="141">
        <v>44.018</v>
      </c>
      <c r="N157" s="23">
        <f>D157</f>
        <v>222.747</v>
      </c>
      <c r="O157" s="196"/>
      <c r="P157" s="165"/>
      <c r="Q157" s="165"/>
      <c r="R157" s="165"/>
      <c r="S157" s="172">
        <f>D157-E157</f>
        <v>0</v>
      </c>
      <c r="T157" s="165"/>
      <c r="W157" s="13"/>
      <c r="X157" s="175"/>
      <c r="Y157" s="175"/>
      <c r="Z157" s="175"/>
      <c r="AA157" s="175"/>
      <c r="AB157" s="175"/>
      <c r="AC157" s="175"/>
      <c r="AD157" s="175"/>
      <c r="AE157" s="175"/>
      <c r="AF157" s="175"/>
      <c r="AG157" s="175"/>
      <c r="AH157" s="175"/>
      <c r="AI157" s="175"/>
      <c r="AJ157" s="175"/>
      <c r="AK157" s="175"/>
      <c r="AL157" s="175"/>
      <c r="AM157" s="175"/>
      <c r="AN157" s="175"/>
      <c r="AO157" s="175"/>
      <c r="AP157" s="175"/>
      <c r="AQ157" s="175"/>
      <c r="AR157" s="175"/>
      <c r="AS157" s="175"/>
      <c r="AT157" s="175"/>
      <c r="AU157" s="175"/>
      <c r="AV157" s="175"/>
      <c r="AW157" s="175"/>
      <c r="AX157" s="175"/>
      <c r="AY157" s="175"/>
      <c r="AZ157" s="175"/>
      <c r="BA157" s="175"/>
      <c r="BB157" s="175"/>
      <c r="BC157" s="175"/>
      <c r="BD157" s="175"/>
      <c r="BE157" s="175"/>
      <c r="BF157" s="175"/>
      <c r="BG157" s="175"/>
      <c r="BH157" s="175"/>
      <c r="BI157" s="175"/>
      <c r="BJ157" s="175"/>
      <c r="BK157" s="175"/>
      <c r="BL157" s="175"/>
      <c r="BM157" s="175"/>
      <c r="BN157" s="175"/>
      <c r="BO157" s="175"/>
      <c r="BP157" s="175"/>
      <c r="BQ157" s="175"/>
      <c r="BR157" s="175"/>
      <c r="BS157" s="175"/>
      <c r="BT157" s="175"/>
      <c r="BU157" s="175"/>
      <c r="BV157" s="175"/>
      <c r="BW157" s="175"/>
      <c r="BX157" s="175"/>
      <c r="BY157" s="175"/>
      <c r="BZ157" s="175"/>
      <c r="CA157" s="175"/>
      <c r="CB157" s="175"/>
      <c r="CC157" s="175"/>
      <c r="CD157" s="175"/>
      <c r="CE157" s="175"/>
      <c r="CF157" s="175"/>
      <c r="CG157" s="175"/>
      <c r="CH157" s="175"/>
      <c r="CI157" s="175"/>
      <c r="CJ157" s="175"/>
      <c r="CK157" s="175"/>
      <c r="CL157" s="175"/>
      <c r="CM157" s="175"/>
      <c r="CN157" s="175"/>
      <c r="CO157" s="175"/>
      <c r="CP157" s="175"/>
      <c r="CQ157" s="175"/>
      <c r="CR157" s="175"/>
      <c r="CS157" s="176"/>
    </row>
    <row r="158" spans="2:97" s="40" customFormat="1" ht="42" customHeight="1">
      <c r="B158" s="154" t="s">
        <v>768</v>
      </c>
      <c r="C158" s="8"/>
      <c r="D158" s="142">
        <f t="shared" si="27"/>
        <v>158.116</v>
      </c>
      <c r="E158" s="142">
        <f t="shared" si="27"/>
        <v>158.116</v>
      </c>
      <c r="F158" s="3"/>
      <c r="G158" s="3"/>
      <c r="H158" s="3"/>
      <c r="I158" s="3"/>
      <c r="J158" s="23">
        <f>128.114</f>
        <v>128.114</v>
      </c>
      <c r="K158" s="23">
        <f>128.114</f>
        <v>128.114</v>
      </c>
      <c r="L158" s="8">
        <v>30.002</v>
      </c>
      <c r="M158" s="141">
        <v>30.002</v>
      </c>
      <c r="N158" s="23">
        <f>D158</f>
        <v>158.116</v>
      </c>
      <c r="O158" s="196"/>
      <c r="P158" s="165"/>
      <c r="Q158" s="165"/>
      <c r="R158" s="165"/>
      <c r="S158" s="172">
        <f>D158-E158</f>
        <v>0</v>
      </c>
      <c r="T158" s="165"/>
      <c r="W158" s="13"/>
      <c r="X158" s="175"/>
      <c r="Y158" s="175"/>
      <c r="Z158" s="175"/>
      <c r="AA158" s="175"/>
      <c r="AB158" s="175"/>
      <c r="AC158" s="175"/>
      <c r="AD158" s="175"/>
      <c r="AE158" s="175"/>
      <c r="AF158" s="175"/>
      <c r="AG158" s="175"/>
      <c r="AH158" s="175"/>
      <c r="AI158" s="175"/>
      <c r="AJ158" s="175"/>
      <c r="AK158" s="175"/>
      <c r="AL158" s="175"/>
      <c r="AM158" s="175"/>
      <c r="AN158" s="175"/>
      <c r="AO158" s="175"/>
      <c r="AP158" s="175"/>
      <c r="AQ158" s="175"/>
      <c r="AR158" s="175"/>
      <c r="AS158" s="175"/>
      <c r="AT158" s="175"/>
      <c r="AU158" s="175"/>
      <c r="AV158" s="175"/>
      <c r="AW158" s="175"/>
      <c r="AX158" s="175"/>
      <c r="AY158" s="175"/>
      <c r="AZ158" s="175"/>
      <c r="BA158" s="175"/>
      <c r="BB158" s="175"/>
      <c r="BC158" s="175"/>
      <c r="BD158" s="175"/>
      <c r="BE158" s="175"/>
      <c r="BF158" s="175"/>
      <c r="BG158" s="175"/>
      <c r="BH158" s="175"/>
      <c r="BI158" s="175"/>
      <c r="BJ158" s="175"/>
      <c r="BK158" s="175"/>
      <c r="BL158" s="175"/>
      <c r="BM158" s="175"/>
      <c r="BN158" s="175"/>
      <c r="BO158" s="175"/>
      <c r="BP158" s="175"/>
      <c r="BQ158" s="175"/>
      <c r="BR158" s="175"/>
      <c r="BS158" s="175"/>
      <c r="BT158" s="175"/>
      <c r="BU158" s="175"/>
      <c r="BV158" s="175"/>
      <c r="BW158" s="175"/>
      <c r="BX158" s="175"/>
      <c r="BY158" s="175"/>
      <c r="BZ158" s="175"/>
      <c r="CA158" s="175"/>
      <c r="CB158" s="175"/>
      <c r="CC158" s="175"/>
      <c r="CD158" s="175"/>
      <c r="CE158" s="175"/>
      <c r="CF158" s="175"/>
      <c r="CG158" s="175"/>
      <c r="CH158" s="175"/>
      <c r="CI158" s="175"/>
      <c r="CJ158" s="175"/>
      <c r="CK158" s="175"/>
      <c r="CL158" s="175"/>
      <c r="CM158" s="175"/>
      <c r="CN158" s="175"/>
      <c r="CO158" s="175"/>
      <c r="CP158" s="175"/>
      <c r="CQ158" s="175"/>
      <c r="CR158" s="175"/>
      <c r="CS158" s="176"/>
    </row>
    <row r="159" spans="2:97" s="40" customFormat="1" ht="29.25" customHeight="1">
      <c r="B159" s="40" t="s">
        <v>150</v>
      </c>
      <c r="C159" s="3"/>
      <c r="D159" s="24">
        <f t="shared" si="27"/>
        <v>2069.578</v>
      </c>
      <c r="E159" s="24">
        <f t="shared" si="27"/>
        <v>2106.589</v>
      </c>
      <c r="F159" s="3">
        <f aca="true" t="shared" si="28" ref="F159:N159">F161+F163+F165+F167+F168</f>
        <v>0</v>
      </c>
      <c r="G159" s="3">
        <f t="shared" si="28"/>
        <v>0</v>
      </c>
      <c r="H159" s="3">
        <f t="shared" si="28"/>
        <v>1056.219</v>
      </c>
      <c r="I159" s="24">
        <f t="shared" si="28"/>
        <v>1056.219</v>
      </c>
      <c r="J159" s="3">
        <f t="shared" si="28"/>
        <v>819.115</v>
      </c>
      <c r="K159" s="24">
        <f t="shared" si="28"/>
        <v>819.115</v>
      </c>
      <c r="L159" s="3">
        <f t="shared" si="28"/>
        <v>194.244</v>
      </c>
      <c r="M159" s="24">
        <f t="shared" si="28"/>
        <v>231.255</v>
      </c>
      <c r="N159" s="24">
        <f t="shared" si="28"/>
        <v>2106.582</v>
      </c>
      <c r="O159" s="24"/>
      <c r="P159" s="165"/>
      <c r="Q159" s="165"/>
      <c r="R159" s="165"/>
      <c r="S159" s="24">
        <f>S161+S163+S165+S167+S168</f>
        <v>-37.011000000000024</v>
      </c>
      <c r="T159" s="165"/>
      <c r="X159" s="175"/>
      <c r="Y159" s="175"/>
      <c r="Z159" s="175"/>
      <c r="AA159" s="175"/>
      <c r="AB159" s="175"/>
      <c r="AC159" s="175"/>
      <c r="AD159" s="175"/>
      <c r="AE159" s="175"/>
      <c r="AF159" s="175"/>
      <c r="AG159" s="175"/>
      <c r="AH159" s="175"/>
      <c r="AI159" s="175"/>
      <c r="AJ159" s="175"/>
      <c r="AK159" s="175"/>
      <c r="AL159" s="175"/>
      <c r="AM159" s="175"/>
      <c r="AN159" s="175"/>
      <c r="AO159" s="175"/>
      <c r="AP159" s="175"/>
      <c r="AQ159" s="175"/>
      <c r="AR159" s="175"/>
      <c r="AS159" s="175"/>
      <c r="AT159" s="175"/>
      <c r="AU159" s="175"/>
      <c r="AV159" s="175"/>
      <c r="AW159" s="175"/>
      <c r="AX159" s="175"/>
      <c r="AY159" s="175"/>
      <c r="AZ159" s="175"/>
      <c r="BA159" s="175"/>
      <c r="BB159" s="175"/>
      <c r="BC159" s="175"/>
      <c r="BD159" s="175"/>
      <c r="BE159" s="175"/>
      <c r="BF159" s="175"/>
      <c r="BG159" s="175"/>
      <c r="BH159" s="175"/>
      <c r="BI159" s="175"/>
      <c r="BJ159" s="175"/>
      <c r="BK159" s="175"/>
      <c r="BL159" s="175"/>
      <c r="BM159" s="175"/>
      <c r="BN159" s="175"/>
      <c r="BO159" s="175"/>
      <c r="BP159" s="175"/>
      <c r="BQ159" s="175"/>
      <c r="BR159" s="175"/>
      <c r="BS159" s="175"/>
      <c r="BT159" s="175"/>
      <c r="BU159" s="175"/>
      <c r="BV159" s="175"/>
      <c r="BW159" s="175"/>
      <c r="BX159" s="175"/>
      <c r="BY159" s="175"/>
      <c r="BZ159" s="175"/>
      <c r="CA159" s="175"/>
      <c r="CB159" s="175"/>
      <c r="CC159" s="175"/>
      <c r="CD159" s="175"/>
      <c r="CE159" s="175"/>
      <c r="CF159" s="175"/>
      <c r="CG159" s="175"/>
      <c r="CH159" s="175"/>
      <c r="CI159" s="175"/>
      <c r="CJ159" s="175"/>
      <c r="CK159" s="175"/>
      <c r="CL159" s="175"/>
      <c r="CM159" s="175"/>
      <c r="CN159" s="175"/>
      <c r="CO159" s="175"/>
      <c r="CP159" s="175"/>
      <c r="CQ159" s="175"/>
      <c r="CR159" s="175"/>
      <c r="CS159" s="176"/>
    </row>
    <row r="160" spans="2:97" s="194" customFormat="1" ht="16.5" customHeight="1">
      <c r="B160" s="40" t="s">
        <v>769</v>
      </c>
      <c r="C160" s="195"/>
      <c r="D160" s="196"/>
      <c r="E160" s="196"/>
      <c r="F160" s="155"/>
      <c r="G160" s="196"/>
      <c r="H160" s="34"/>
      <c r="I160" s="8"/>
      <c r="J160" s="8"/>
      <c r="K160" s="8"/>
      <c r="L160" s="8"/>
      <c r="M160" s="141"/>
      <c r="N160" s="48"/>
      <c r="O160" s="23"/>
      <c r="P160" s="165"/>
      <c r="Q160" s="165"/>
      <c r="R160" s="197"/>
      <c r="S160" s="153"/>
      <c r="T160" s="197"/>
      <c r="W160" s="177"/>
      <c r="X160" s="198"/>
      <c r="Y160" s="198"/>
      <c r="Z160" s="198"/>
      <c r="AA160" s="198"/>
      <c r="AB160" s="198"/>
      <c r="AC160" s="198"/>
      <c r="AD160" s="198"/>
      <c r="AE160" s="198"/>
      <c r="AF160" s="198"/>
      <c r="AG160" s="198"/>
      <c r="AH160" s="198"/>
      <c r="AI160" s="198"/>
      <c r="AJ160" s="198"/>
      <c r="AK160" s="198"/>
      <c r="AL160" s="198"/>
      <c r="AM160" s="198"/>
      <c r="AN160" s="198"/>
      <c r="AO160" s="198"/>
      <c r="AP160" s="198"/>
      <c r="AQ160" s="198"/>
      <c r="AR160" s="198"/>
      <c r="AS160" s="198"/>
      <c r="AT160" s="198"/>
      <c r="AU160" s="198"/>
      <c r="AV160" s="198"/>
      <c r="AW160" s="198"/>
      <c r="AX160" s="198"/>
      <c r="AY160" s="198"/>
      <c r="AZ160" s="19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  <c r="BZ160" s="198"/>
      <c r="CA160" s="198"/>
      <c r="CB160" s="198"/>
      <c r="CC160" s="198"/>
      <c r="CD160" s="198"/>
      <c r="CE160" s="198"/>
      <c r="CF160" s="198"/>
      <c r="CG160" s="198"/>
      <c r="CH160" s="198"/>
      <c r="CI160" s="198"/>
      <c r="CJ160" s="198"/>
      <c r="CK160" s="198"/>
      <c r="CL160" s="198"/>
      <c r="CM160" s="198"/>
      <c r="CN160" s="198"/>
      <c r="CO160" s="198"/>
      <c r="CP160" s="198"/>
      <c r="CQ160" s="198"/>
      <c r="CR160" s="198"/>
      <c r="CS160" s="199"/>
    </row>
    <row r="161" spans="1:97" s="40" customFormat="1" ht="43.5" customHeight="1">
      <c r="A161" s="200"/>
      <c r="B161" s="154" t="s">
        <v>770</v>
      </c>
      <c r="C161" s="192"/>
      <c r="D161" s="23">
        <f>F161+H161+J161+L161</f>
        <v>357.139</v>
      </c>
      <c r="E161" s="23">
        <f>G161+I161+K161+M161</f>
        <v>357.139</v>
      </c>
      <c r="F161" s="155"/>
      <c r="G161" s="196"/>
      <c r="H161" s="23">
        <v>357.139</v>
      </c>
      <c r="I161" s="23">
        <v>357.139</v>
      </c>
      <c r="J161" s="8"/>
      <c r="K161" s="8"/>
      <c r="L161" s="8"/>
      <c r="M161" s="141"/>
      <c r="N161" s="23">
        <f>D161</f>
        <v>357.139</v>
      </c>
      <c r="O161" s="23"/>
      <c r="P161" s="152"/>
      <c r="Q161" s="152"/>
      <c r="R161" s="165"/>
      <c r="S161" s="153">
        <f>D161-E161</f>
        <v>0</v>
      </c>
      <c r="T161" s="165"/>
      <c r="W161" s="177"/>
      <c r="X161" s="175"/>
      <c r="Y161" s="175"/>
      <c r="Z161" s="175"/>
      <c r="AA161" s="175"/>
      <c r="AB161" s="175"/>
      <c r="AC161" s="175"/>
      <c r="AD161" s="175"/>
      <c r="AE161" s="175"/>
      <c r="AF161" s="175"/>
      <c r="AG161" s="175"/>
      <c r="AH161" s="175"/>
      <c r="AI161" s="175"/>
      <c r="AJ161" s="175"/>
      <c r="AK161" s="175"/>
      <c r="AL161" s="175"/>
      <c r="AM161" s="175"/>
      <c r="AN161" s="175"/>
      <c r="AO161" s="175"/>
      <c r="AP161" s="175"/>
      <c r="AQ161" s="175"/>
      <c r="AR161" s="175"/>
      <c r="AS161" s="175"/>
      <c r="AT161" s="175"/>
      <c r="AU161" s="175"/>
      <c r="AV161" s="175"/>
      <c r="AW161" s="175"/>
      <c r="AX161" s="175"/>
      <c r="AY161" s="175"/>
      <c r="AZ161" s="175"/>
      <c r="BA161" s="175"/>
      <c r="BB161" s="175"/>
      <c r="BC161" s="175"/>
      <c r="BD161" s="175"/>
      <c r="BE161" s="175"/>
      <c r="BF161" s="175"/>
      <c r="BG161" s="175"/>
      <c r="BH161" s="175"/>
      <c r="BI161" s="175"/>
      <c r="BJ161" s="175"/>
      <c r="BK161" s="175"/>
      <c r="BL161" s="175"/>
      <c r="BM161" s="175"/>
      <c r="BN161" s="175"/>
      <c r="BO161" s="175"/>
      <c r="BP161" s="175"/>
      <c r="BQ161" s="175"/>
      <c r="BR161" s="175"/>
      <c r="BS161" s="175"/>
      <c r="BT161" s="175"/>
      <c r="BU161" s="175"/>
      <c r="BV161" s="175"/>
      <c r="BW161" s="175"/>
      <c r="BX161" s="175"/>
      <c r="BY161" s="175"/>
      <c r="BZ161" s="175"/>
      <c r="CA161" s="175"/>
      <c r="CB161" s="175"/>
      <c r="CC161" s="175"/>
      <c r="CD161" s="175"/>
      <c r="CE161" s="175"/>
      <c r="CF161" s="175"/>
      <c r="CG161" s="175"/>
      <c r="CH161" s="175"/>
      <c r="CI161" s="175"/>
      <c r="CJ161" s="175"/>
      <c r="CK161" s="175"/>
      <c r="CL161" s="175"/>
      <c r="CM161" s="175"/>
      <c r="CN161" s="175"/>
      <c r="CO161" s="175"/>
      <c r="CP161" s="175"/>
      <c r="CQ161" s="175"/>
      <c r="CR161" s="175"/>
      <c r="CS161" s="176"/>
    </row>
    <row r="162" spans="1:97" s="40" customFormat="1" ht="18.75" customHeight="1">
      <c r="A162" s="200"/>
      <c r="B162" s="40" t="s">
        <v>771</v>
      </c>
      <c r="C162" s="200"/>
      <c r="D162" s="142"/>
      <c r="E162" s="142"/>
      <c r="F162" s="155"/>
      <c r="G162" s="196"/>
      <c r="H162" s="142"/>
      <c r="I162" s="142"/>
      <c r="J162" s="189"/>
      <c r="K162" s="189"/>
      <c r="L162" s="8"/>
      <c r="M162" s="141"/>
      <c r="N162" s="48"/>
      <c r="O162" s="23"/>
      <c r="P162" s="152"/>
      <c r="Q162" s="152"/>
      <c r="R162" s="165"/>
      <c r="S162" s="153"/>
      <c r="T162" s="165"/>
      <c r="W162" s="177"/>
      <c r="X162" s="175"/>
      <c r="Y162" s="175"/>
      <c r="Z162" s="175"/>
      <c r="AA162" s="175"/>
      <c r="AB162" s="175"/>
      <c r="AC162" s="175"/>
      <c r="AD162" s="175"/>
      <c r="AE162" s="175"/>
      <c r="AF162" s="175"/>
      <c r="AG162" s="175"/>
      <c r="AH162" s="175"/>
      <c r="AI162" s="175"/>
      <c r="AJ162" s="175"/>
      <c r="AK162" s="175"/>
      <c r="AL162" s="175"/>
      <c r="AM162" s="175"/>
      <c r="AN162" s="175"/>
      <c r="AO162" s="175"/>
      <c r="AP162" s="175"/>
      <c r="AQ162" s="175"/>
      <c r="AR162" s="175"/>
      <c r="AS162" s="175"/>
      <c r="AT162" s="175"/>
      <c r="AU162" s="175"/>
      <c r="AV162" s="175"/>
      <c r="AW162" s="175"/>
      <c r="AX162" s="175"/>
      <c r="AY162" s="175"/>
      <c r="AZ162" s="175"/>
      <c r="BA162" s="175"/>
      <c r="BB162" s="175"/>
      <c r="BC162" s="175"/>
      <c r="BD162" s="175"/>
      <c r="BE162" s="175"/>
      <c r="BF162" s="175"/>
      <c r="BG162" s="175"/>
      <c r="BH162" s="175"/>
      <c r="BI162" s="175"/>
      <c r="BJ162" s="175"/>
      <c r="BK162" s="175"/>
      <c r="BL162" s="175"/>
      <c r="BM162" s="175"/>
      <c r="BN162" s="175"/>
      <c r="BO162" s="175"/>
      <c r="BP162" s="175"/>
      <c r="BQ162" s="175"/>
      <c r="BR162" s="175"/>
      <c r="BS162" s="175"/>
      <c r="BT162" s="175"/>
      <c r="BU162" s="175"/>
      <c r="BV162" s="175"/>
      <c r="BW162" s="175"/>
      <c r="BX162" s="175"/>
      <c r="BY162" s="175"/>
      <c r="BZ162" s="175"/>
      <c r="CA162" s="175"/>
      <c r="CB162" s="175"/>
      <c r="CC162" s="175"/>
      <c r="CD162" s="175"/>
      <c r="CE162" s="175"/>
      <c r="CF162" s="175"/>
      <c r="CG162" s="175"/>
      <c r="CH162" s="175"/>
      <c r="CI162" s="175"/>
      <c r="CJ162" s="175"/>
      <c r="CK162" s="175"/>
      <c r="CL162" s="175"/>
      <c r="CM162" s="175"/>
      <c r="CN162" s="175"/>
      <c r="CO162" s="175"/>
      <c r="CP162" s="175"/>
      <c r="CQ162" s="175"/>
      <c r="CR162" s="175"/>
      <c r="CS162" s="176"/>
    </row>
    <row r="163" spans="1:97" s="40" customFormat="1" ht="43.5" customHeight="1">
      <c r="A163" s="200"/>
      <c r="B163" s="13" t="s">
        <v>772</v>
      </c>
      <c r="C163" s="200"/>
      <c r="D163" s="23">
        <f>F163+H163+J163+L163</f>
        <v>563.154</v>
      </c>
      <c r="E163" s="142">
        <f>G163+I163+K163+M163</f>
        <v>563.1610000000001</v>
      </c>
      <c r="F163" s="155"/>
      <c r="G163" s="196"/>
      <c r="H163" s="142"/>
      <c r="I163" s="142"/>
      <c r="J163" s="167">
        <f>467.154</f>
        <v>467.154</v>
      </c>
      <c r="K163" s="167">
        <f>467.154</f>
        <v>467.154</v>
      </c>
      <c r="L163" s="8">
        <v>96</v>
      </c>
      <c r="M163" s="141">
        <v>96.007</v>
      </c>
      <c r="N163" s="23">
        <f>D163</f>
        <v>563.154</v>
      </c>
      <c r="O163" s="23"/>
      <c r="P163" s="152"/>
      <c r="Q163" s="152"/>
      <c r="R163" s="165"/>
      <c r="S163" s="153">
        <f>D163-E163</f>
        <v>-0.007000000000061846</v>
      </c>
      <c r="T163" s="165"/>
      <c r="W163" s="177"/>
      <c r="X163" s="175"/>
      <c r="Y163" s="175"/>
      <c r="Z163" s="175"/>
      <c r="AA163" s="175"/>
      <c r="AB163" s="175"/>
      <c r="AC163" s="175"/>
      <c r="AD163" s="175"/>
      <c r="AE163" s="175"/>
      <c r="AF163" s="175"/>
      <c r="AG163" s="175"/>
      <c r="AH163" s="175"/>
      <c r="AI163" s="175"/>
      <c r="AJ163" s="175"/>
      <c r="AK163" s="175"/>
      <c r="AL163" s="175"/>
      <c r="AM163" s="175"/>
      <c r="AN163" s="175"/>
      <c r="AO163" s="175"/>
      <c r="AP163" s="175"/>
      <c r="AQ163" s="175"/>
      <c r="AR163" s="175"/>
      <c r="AS163" s="175"/>
      <c r="AT163" s="175"/>
      <c r="AU163" s="175"/>
      <c r="AV163" s="175"/>
      <c r="AW163" s="175"/>
      <c r="AX163" s="175"/>
      <c r="AY163" s="175"/>
      <c r="AZ163" s="175"/>
      <c r="BA163" s="175"/>
      <c r="BB163" s="175"/>
      <c r="BC163" s="175"/>
      <c r="BD163" s="175"/>
      <c r="BE163" s="175"/>
      <c r="BF163" s="175"/>
      <c r="BG163" s="175"/>
      <c r="BH163" s="175"/>
      <c r="BI163" s="175"/>
      <c r="BJ163" s="175"/>
      <c r="BK163" s="175"/>
      <c r="BL163" s="175"/>
      <c r="BM163" s="175"/>
      <c r="BN163" s="175"/>
      <c r="BO163" s="175"/>
      <c r="BP163" s="175"/>
      <c r="BQ163" s="175"/>
      <c r="BR163" s="175"/>
      <c r="BS163" s="175"/>
      <c r="BT163" s="175"/>
      <c r="BU163" s="175"/>
      <c r="BV163" s="175"/>
      <c r="BW163" s="175"/>
      <c r="BX163" s="175"/>
      <c r="BY163" s="175"/>
      <c r="BZ163" s="175"/>
      <c r="CA163" s="175"/>
      <c r="CB163" s="175"/>
      <c r="CC163" s="175"/>
      <c r="CD163" s="175"/>
      <c r="CE163" s="175"/>
      <c r="CF163" s="175"/>
      <c r="CG163" s="175"/>
      <c r="CH163" s="175"/>
      <c r="CI163" s="175"/>
      <c r="CJ163" s="175"/>
      <c r="CK163" s="175"/>
      <c r="CL163" s="175"/>
      <c r="CM163" s="175"/>
      <c r="CN163" s="175"/>
      <c r="CO163" s="175"/>
      <c r="CP163" s="175"/>
      <c r="CQ163" s="175"/>
      <c r="CR163" s="175"/>
      <c r="CS163" s="176"/>
    </row>
    <row r="164" spans="2:97" s="40" customFormat="1" ht="16.5" customHeight="1">
      <c r="B164" s="40" t="s">
        <v>773</v>
      </c>
      <c r="C164" s="3"/>
      <c r="D164" s="23"/>
      <c r="E164" s="8"/>
      <c r="F164" s="8"/>
      <c r="G164" s="8"/>
      <c r="H164" s="8"/>
      <c r="I164" s="8"/>
      <c r="J164" s="8"/>
      <c r="K164" s="8"/>
      <c r="L164" s="8"/>
      <c r="M164" s="141"/>
      <c r="N164" s="8"/>
      <c r="O164" s="23"/>
      <c r="P164" s="165"/>
      <c r="Q164" s="165"/>
      <c r="R164" s="165"/>
      <c r="S164" s="153"/>
      <c r="T164" s="165"/>
      <c r="W164" s="177"/>
      <c r="X164" s="175"/>
      <c r="Y164" s="175"/>
      <c r="Z164" s="175"/>
      <c r="AA164" s="175"/>
      <c r="AB164" s="175"/>
      <c r="AC164" s="175"/>
      <c r="AD164" s="175"/>
      <c r="AE164" s="175"/>
      <c r="AF164" s="175"/>
      <c r="AG164" s="175"/>
      <c r="AH164" s="175"/>
      <c r="AI164" s="175"/>
      <c r="AJ164" s="175"/>
      <c r="AK164" s="175"/>
      <c r="AL164" s="175"/>
      <c r="AM164" s="175"/>
      <c r="AN164" s="175"/>
      <c r="AO164" s="175"/>
      <c r="AP164" s="175"/>
      <c r="AQ164" s="175"/>
      <c r="AR164" s="175"/>
      <c r="AS164" s="175"/>
      <c r="AT164" s="175"/>
      <c r="AU164" s="175"/>
      <c r="AV164" s="175"/>
      <c r="AW164" s="175"/>
      <c r="AX164" s="175"/>
      <c r="AY164" s="175"/>
      <c r="AZ164" s="175"/>
      <c r="BA164" s="175"/>
      <c r="BB164" s="175"/>
      <c r="BC164" s="175"/>
      <c r="BD164" s="175"/>
      <c r="BE164" s="175"/>
      <c r="BF164" s="175"/>
      <c r="BG164" s="175"/>
      <c r="BH164" s="175"/>
      <c r="BI164" s="175"/>
      <c r="BJ164" s="175"/>
      <c r="BK164" s="175"/>
      <c r="BL164" s="175"/>
      <c r="BM164" s="175"/>
      <c r="BN164" s="175"/>
      <c r="BO164" s="175"/>
      <c r="BP164" s="175"/>
      <c r="BQ164" s="175"/>
      <c r="BR164" s="175"/>
      <c r="BS164" s="175"/>
      <c r="BT164" s="175"/>
      <c r="BU164" s="175"/>
      <c r="BV164" s="175"/>
      <c r="BW164" s="175"/>
      <c r="BX164" s="175"/>
      <c r="BY164" s="175"/>
      <c r="BZ164" s="175"/>
      <c r="CA164" s="175"/>
      <c r="CB164" s="175"/>
      <c r="CC164" s="175"/>
      <c r="CD164" s="175"/>
      <c r="CE164" s="175"/>
      <c r="CF164" s="175"/>
      <c r="CG164" s="175"/>
      <c r="CH164" s="175"/>
      <c r="CI164" s="175"/>
      <c r="CJ164" s="175"/>
      <c r="CK164" s="175"/>
      <c r="CL164" s="175"/>
      <c r="CM164" s="175"/>
      <c r="CN164" s="175"/>
      <c r="CO164" s="175"/>
      <c r="CP164" s="175"/>
      <c r="CQ164" s="175"/>
      <c r="CR164" s="175"/>
      <c r="CS164" s="176"/>
    </row>
    <row r="165" spans="2:97" s="40" customFormat="1" ht="43.5" customHeight="1">
      <c r="B165" s="154" t="s">
        <v>774</v>
      </c>
      <c r="C165" s="3"/>
      <c r="D165" s="23">
        <f>F165+H165+J165+L165</f>
        <v>400.321</v>
      </c>
      <c r="E165" s="23">
        <v>400.321</v>
      </c>
      <c r="F165" s="8"/>
      <c r="G165" s="8"/>
      <c r="H165" s="23">
        <v>400.321</v>
      </c>
      <c r="I165" s="23">
        <v>400.321</v>
      </c>
      <c r="J165" s="8"/>
      <c r="K165" s="8"/>
      <c r="L165" s="8"/>
      <c r="M165" s="141"/>
      <c r="N165" s="23">
        <f>D165</f>
        <v>400.321</v>
      </c>
      <c r="O165" s="23"/>
      <c r="P165" s="165"/>
      <c r="Q165" s="165"/>
      <c r="R165" s="165"/>
      <c r="S165" s="153">
        <f>D165-E165</f>
        <v>0</v>
      </c>
      <c r="T165" s="165"/>
      <c r="W165" s="177"/>
      <c r="X165" s="175"/>
      <c r="Y165" s="175"/>
      <c r="Z165" s="175"/>
      <c r="AA165" s="175"/>
      <c r="AB165" s="175"/>
      <c r="AC165" s="175"/>
      <c r="AD165" s="175"/>
      <c r="AE165" s="175"/>
      <c r="AF165" s="175"/>
      <c r="AG165" s="175"/>
      <c r="AH165" s="175"/>
      <c r="AI165" s="175"/>
      <c r="AJ165" s="175"/>
      <c r="AK165" s="175"/>
      <c r="AL165" s="175"/>
      <c r="AM165" s="175"/>
      <c r="AN165" s="175"/>
      <c r="AO165" s="175"/>
      <c r="AP165" s="175"/>
      <c r="AQ165" s="175"/>
      <c r="AR165" s="175"/>
      <c r="AS165" s="175"/>
      <c r="AT165" s="175"/>
      <c r="AU165" s="175"/>
      <c r="AV165" s="175"/>
      <c r="AW165" s="175"/>
      <c r="AX165" s="175"/>
      <c r="AY165" s="175"/>
      <c r="AZ165" s="175"/>
      <c r="BA165" s="175"/>
      <c r="BB165" s="175"/>
      <c r="BC165" s="175"/>
      <c r="BD165" s="175"/>
      <c r="BE165" s="175"/>
      <c r="BF165" s="175"/>
      <c r="BG165" s="175"/>
      <c r="BH165" s="175"/>
      <c r="BI165" s="175"/>
      <c r="BJ165" s="175"/>
      <c r="BK165" s="175"/>
      <c r="BL165" s="175"/>
      <c r="BM165" s="175"/>
      <c r="BN165" s="175"/>
      <c r="BO165" s="175"/>
      <c r="BP165" s="175"/>
      <c r="BQ165" s="175"/>
      <c r="BR165" s="175"/>
      <c r="BS165" s="175"/>
      <c r="BT165" s="175"/>
      <c r="BU165" s="175"/>
      <c r="BV165" s="175"/>
      <c r="BW165" s="175"/>
      <c r="BX165" s="175"/>
      <c r="BY165" s="175"/>
      <c r="BZ165" s="175"/>
      <c r="CA165" s="175"/>
      <c r="CB165" s="175"/>
      <c r="CC165" s="175"/>
      <c r="CD165" s="175"/>
      <c r="CE165" s="175"/>
      <c r="CF165" s="175"/>
      <c r="CG165" s="175"/>
      <c r="CH165" s="175"/>
      <c r="CI165" s="175"/>
      <c r="CJ165" s="175"/>
      <c r="CK165" s="175"/>
      <c r="CL165" s="175"/>
      <c r="CM165" s="175"/>
      <c r="CN165" s="175"/>
      <c r="CO165" s="175"/>
      <c r="CP165" s="175"/>
      <c r="CQ165" s="175"/>
      <c r="CR165" s="175"/>
      <c r="CS165" s="176"/>
    </row>
    <row r="166" spans="2:97" s="40" customFormat="1" ht="16.5" customHeight="1">
      <c r="B166" s="40" t="s">
        <v>775</v>
      </c>
      <c r="C166" s="3"/>
      <c r="D166" s="23"/>
      <c r="E166" s="8"/>
      <c r="F166" s="8"/>
      <c r="G166" s="8"/>
      <c r="H166" s="8"/>
      <c r="I166" s="8"/>
      <c r="J166" s="8"/>
      <c r="K166" s="8"/>
      <c r="L166" s="8"/>
      <c r="M166" s="141"/>
      <c r="N166" s="23"/>
      <c r="O166" s="23"/>
      <c r="P166" s="165"/>
      <c r="Q166" s="165"/>
      <c r="R166" s="165"/>
      <c r="S166" s="153"/>
      <c r="T166" s="165"/>
      <c r="W166" s="177"/>
      <c r="X166" s="175"/>
      <c r="Y166" s="175"/>
      <c r="Z166" s="175"/>
      <c r="AA166" s="175"/>
      <c r="AB166" s="175"/>
      <c r="AC166" s="175"/>
      <c r="AD166" s="175"/>
      <c r="AE166" s="175"/>
      <c r="AF166" s="175"/>
      <c r="AG166" s="175"/>
      <c r="AH166" s="175"/>
      <c r="AI166" s="175"/>
      <c r="AJ166" s="175"/>
      <c r="AK166" s="175"/>
      <c r="AL166" s="175"/>
      <c r="AM166" s="175"/>
      <c r="AN166" s="175"/>
      <c r="AO166" s="175"/>
      <c r="AP166" s="175"/>
      <c r="AQ166" s="175"/>
      <c r="AR166" s="175"/>
      <c r="AS166" s="175"/>
      <c r="AT166" s="175"/>
      <c r="AU166" s="175"/>
      <c r="AV166" s="175"/>
      <c r="AW166" s="175"/>
      <c r="AX166" s="175"/>
      <c r="AY166" s="175"/>
      <c r="AZ166" s="175"/>
      <c r="BA166" s="175"/>
      <c r="BB166" s="175"/>
      <c r="BC166" s="175"/>
      <c r="BD166" s="175"/>
      <c r="BE166" s="175"/>
      <c r="BF166" s="175"/>
      <c r="BG166" s="175"/>
      <c r="BH166" s="175"/>
      <c r="BI166" s="175"/>
      <c r="BJ166" s="175"/>
      <c r="BK166" s="175"/>
      <c r="BL166" s="175"/>
      <c r="BM166" s="175"/>
      <c r="BN166" s="175"/>
      <c r="BO166" s="175"/>
      <c r="BP166" s="175"/>
      <c r="BQ166" s="175"/>
      <c r="BR166" s="175"/>
      <c r="BS166" s="175"/>
      <c r="BT166" s="175"/>
      <c r="BU166" s="175"/>
      <c r="BV166" s="175"/>
      <c r="BW166" s="175"/>
      <c r="BX166" s="175"/>
      <c r="BY166" s="175"/>
      <c r="BZ166" s="175"/>
      <c r="CA166" s="175"/>
      <c r="CB166" s="175"/>
      <c r="CC166" s="175"/>
      <c r="CD166" s="175"/>
      <c r="CE166" s="175"/>
      <c r="CF166" s="175"/>
      <c r="CG166" s="175"/>
      <c r="CH166" s="175"/>
      <c r="CI166" s="175"/>
      <c r="CJ166" s="175"/>
      <c r="CK166" s="175"/>
      <c r="CL166" s="175"/>
      <c r="CM166" s="175"/>
      <c r="CN166" s="175"/>
      <c r="CO166" s="175"/>
      <c r="CP166" s="175"/>
      <c r="CQ166" s="175"/>
      <c r="CR166" s="175"/>
      <c r="CS166" s="176"/>
    </row>
    <row r="167" spans="2:97" s="40" customFormat="1" ht="42" customHeight="1">
      <c r="B167" s="154" t="s">
        <v>776</v>
      </c>
      <c r="C167" s="3"/>
      <c r="D167" s="23">
        <f>F167+H167+J167+L167</f>
        <v>298.759</v>
      </c>
      <c r="E167" s="23">
        <v>298.759</v>
      </c>
      <c r="F167" s="8"/>
      <c r="G167" s="8"/>
      <c r="H167" s="23">
        <v>298.759</v>
      </c>
      <c r="I167" s="23">
        <v>298.759</v>
      </c>
      <c r="J167" s="8"/>
      <c r="K167" s="8"/>
      <c r="L167" s="8"/>
      <c r="M167" s="141"/>
      <c r="N167" s="23">
        <f>D167</f>
        <v>298.759</v>
      </c>
      <c r="O167" s="23"/>
      <c r="P167" s="165"/>
      <c r="Q167" s="165"/>
      <c r="R167" s="165"/>
      <c r="S167" s="153">
        <f>D167-E167</f>
        <v>0</v>
      </c>
      <c r="T167" s="165"/>
      <c r="W167" s="177"/>
      <c r="X167" s="175"/>
      <c r="Y167" s="175"/>
      <c r="Z167" s="175"/>
      <c r="AA167" s="175"/>
      <c r="AB167" s="175"/>
      <c r="AC167" s="175"/>
      <c r="AD167" s="175"/>
      <c r="AE167" s="175"/>
      <c r="AF167" s="175"/>
      <c r="AG167" s="175"/>
      <c r="AH167" s="175"/>
      <c r="AI167" s="175"/>
      <c r="AJ167" s="175"/>
      <c r="AK167" s="175"/>
      <c r="AL167" s="175"/>
      <c r="AM167" s="175"/>
      <c r="AN167" s="175"/>
      <c r="AO167" s="175"/>
      <c r="AP167" s="175"/>
      <c r="AQ167" s="175"/>
      <c r="AR167" s="175"/>
      <c r="AS167" s="175"/>
      <c r="AT167" s="175"/>
      <c r="AU167" s="175"/>
      <c r="AV167" s="175"/>
      <c r="AW167" s="175"/>
      <c r="AX167" s="175"/>
      <c r="AY167" s="175"/>
      <c r="AZ167" s="175"/>
      <c r="BA167" s="175"/>
      <c r="BB167" s="175"/>
      <c r="BC167" s="175"/>
      <c r="BD167" s="175"/>
      <c r="BE167" s="175"/>
      <c r="BF167" s="175"/>
      <c r="BG167" s="175"/>
      <c r="BH167" s="175"/>
      <c r="BI167" s="175"/>
      <c r="BJ167" s="175"/>
      <c r="BK167" s="175"/>
      <c r="BL167" s="175"/>
      <c r="BM167" s="175"/>
      <c r="BN167" s="175"/>
      <c r="BO167" s="175"/>
      <c r="BP167" s="175"/>
      <c r="BQ167" s="175"/>
      <c r="BR167" s="175"/>
      <c r="BS167" s="175"/>
      <c r="BT167" s="175"/>
      <c r="BU167" s="175"/>
      <c r="BV167" s="175"/>
      <c r="BW167" s="175"/>
      <c r="BX167" s="175"/>
      <c r="BY167" s="175"/>
      <c r="BZ167" s="175"/>
      <c r="CA167" s="175"/>
      <c r="CB167" s="175"/>
      <c r="CC167" s="175"/>
      <c r="CD167" s="175"/>
      <c r="CE167" s="175"/>
      <c r="CF167" s="175"/>
      <c r="CG167" s="175"/>
      <c r="CH167" s="175"/>
      <c r="CI167" s="175"/>
      <c r="CJ167" s="175"/>
      <c r="CK167" s="175"/>
      <c r="CL167" s="175"/>
      <c r="CM167" s="175"/>
      <c r="CN167" s="175"/>
      <c r="CO167" s="175"/>
      <c r="CP167" s="175"/>
      <c r="CQ167" s="175"/>
      <c r="CR167" s="175"/>
      <c r="CS167" s="176"/>
    </row>
    <row r="168" spans="2:97" s="40" customFormat="1" ht="56.25" customHeight="1">
      <c r="B168" s="154" t="s">
        <v>777</v>
      </c>
      <c r="C168" s="8"/>
      <c r="D168" s="23">
        <f>F168+H168+J168+L168</f>
        <v>450.20500000000004</v>
      </c>
      <c r="E168" s="142">
        <f>G168+I168+K168+M168</f>
        <v>487.209</v>
      </c>
      <c r="F168" s="3"/>
      <c r="G168" s="3"/>
      <c r="H168" s="3"/>
      <c r="I168" s="3"/>
      <c r="J168" s="23">
        <f>351.961</f>
        <v>351.961</v>
      </c>
      <c r="K168" s="23">
        <f>351.961</f>
        <v>351.961</v>
      </c>
      <c r="L168" s="8">
        <v>98.244</v>
      </c>
      <c r="M168" s="141">
        <f>98.244+37.004</f>
        <v>135.248</v>
      </c>
      <c r="N168" s="23">
        <f>E168</f>
        <v>487.209</v>
      </c>
      <c r="O168" s="23"/>
      <c r="P168" s="165"/>
      <c r="Q168" s="165"/>
      <c r="R168" s="165"/>
      <c r="S168" s="153">
        <f>D168-E168</f>
        <v>-37.00399999999996</v>
      </c>
      <c r="T168" s="165"/>
      <c r="W168" s="8" t="s">
        <v>740</v>
      </c>
      <c r="X168" s="175"/>
      <c r="Y168" s="175"/>
      <c r="Z168" s="175"/>
      <c r="AA168" s="175"/>
      <c r="AB168" s="175"/>
      <c r="AC168" s="175"/>
      <c r="AD168" s="175"/>
      <c r="AE168" s="175"/>
      <c r="AF168" s="175"/>
      <c r="AG168" s="175"/>
      <c r="AH168" s="175"/>
      <c r="AI168" s="175"/>
      <c r="AJ168" s="175"/>
      <c r="AK168" s="175"/>
      <c r="AL168" s="175"/>
      <c r="AM168" s="175"/>
      <c r="AN168" s="175"/>
      <c r="AO168" s="175"/>
      <c r="AP168" s="175"/>
      <c r="AQ168" s="175"/>
      <c r="AR168" s="175"/>
      <c r="AS168" s="175"/>
      <c r="AT168" s="175"/>
      <c r="AU168" s="175"/>
      <c r="AV168" s="175"/>
      <c r="AW168" s="175"/>
      <c r="AX168" s="175"/>
      <c r="AY168" s="175"/>
      <c r="AZ168" s="175"/>
      <c r="BA168" s="175"/>
      <c r="BB168" s="175"/>
      <c r="BC168" s="175"/>
      <c r="BD168" s="175"/>
      <c r="BE168" s="175"/>
      <c r="BF168" s="175"/>
      <c r="BG168" s="175"/>
      <c r="BH168" s="175"/>
      <c r="BI168" s="175"/>
      <c r="BJ168" s="175"/>
      <c r="BK168" s="175"/>
      <c r="BL168" s="175"/>
      <c r="BM168" s="175"/>
      <c r="BN168" s="175"/>
      <c r="BO168" s="175"/>
      <c r="BP168" s="175"/>
      <c r="BQ168" s="175"/>
      <c r="BR168" s="175"/>
      <c r="BS168" s="175"/>
      <c r="BT168" s="175"/>
      <c r="BU168" s="175"/>
      <c r="BV168" s="175"/>
      <c r="BW168" s="175"/>
      <c r="BX168" s="175"/>
      <c r="BY168" s="175"/>
      <c r="BZ168" s="175"/>
      <c r="CA168" s="175"/>
      <c r="CB168" s="175"/>
      <c r="CC168" s="175"/>
      <c r="CD168" s="175"/>
      <c r="CE168" s="175"/>
      <c r="CF168" s="175"/>
      <c r="CG168" s="175"/>
      <c r="CH168" s="175"/>
      <c r="CI168" s="175"/>
      <c r="CJ168" s="175"/>
      <c r="CK168" s="175"/>
      <c r="CL168" s="175"/>
      <c r="CM168" s="175"/>
      <c r="CN168" s="175"/>
      <c r="CO168" s="175"/>
      <c r="CP168" s="175"/>
      <c r="CQ168" s="175"/>
      <c r="CR168" s="175"/>
      <c r="CS168" s="176"/>
    </row>
    <row r="169" spans="2:97" s="40" customFormat="1" ht="28.5" customHeight="1">
      <c r="B169" s="40" t="s">
        <v>156</v>
      </c>
      <c r="C169" s="3"/>
      <c r="D169" s="24">
        <f>F169+H169+J169+L169</f>
        <v>2647.7490000000003</v>
      </c>
      <c r="E169" s="24">
        <f>G169+I169+K169+M169</f>
        <v>2690.036</v>
      </c>
      <c r="F169" s="3">
        <f aca="true" t="shared" si="29" ref="F169:K169">F171+F172+F173+F174+F175+F177+F180+F181+F184</f>
        <v>0</v>
      </c>
      <c r="G169" s="3">
        <f t="shared" si="29"/>
        <v>0</v>
      </c>
      <c r="H169" s="24">
        <f t="shared" si="29"/>
        <v>857.596</v>
      </c>
      <c r="I169" s="24">
        <f t="shared" si="29"/>
        <v>857.596</v>
      </c>
      <c r="J169" s="24">
        <f t="shared" si="29"/>
        <v>933.34</v>
      </c>
      <c r="K169" s="24">
        <f t="shared" si="29"/>
        <v>933.34</v>
      </c>
      <c r="L169" s="3">
        <f>L171+L172+L173+L174+L175+L177+L180+L181+L184+L178+L182</f>
        <v>856.813</v>
      </c>
      <c r="M169" s="3">
        <f>M171+M172+M173+M174+M175+M177+M180+M181+M184+M178+M182</f>
        <v>899.1</v>
      </c>
      <c r="N169" s="3">
        <f>N171+N172+N173+N174+N175+N177+N180+N181+N184+N178+N182</f>
        <v>2690.035</v>
      </c>
      <c r="O169" s="3"/>
      <c r="P169" s="3"/>
      <c r="Q169" s="3"/>
      <c r="R169" s="3"/>
      <c r="S169" s="24">
        <f>S171+S172+S173+S174+S175+S177+S180+S181+S184</f>
        <v>-9.277999999999992</v>
      </c>
      <c r="T169" s="165"/>
      <c r="X169" s="175"/>
      <c r="Y169" s="175"/>
      <c r="Z169" s="175"/>
      <c r="AA169" s="175"/>
      <c r="AB169" s="175"/>
      <c r="AC169" s="175"/>
      <c r="AD169" s="175"/>
      <c r="AE169" s="175"/>
      <c r="AF169" s="175"/>
      <c r="AG169" s="175"/>
      <c r="AH169" s="175"/>
      <c r="AI169" s="175"/>
      <c r="AJ169" s="175"/>
      <c r="AK169" s="175"/>
      <c r="AL169" s="175"/>
      <c r="AM169" s="175"/>
      <c r="AN169" s="175"/>
      <c r="AO169" s="175"/>
      <c r="AP169" s="175"/>
      <c r="AQ169" s="175"/>
      <c r="AR169" s="175"/>
      <c r="AS169" s="175"/>
      <c r="AT169" s="175"/>
      <c r="AU169" s="175"/>
      <c r="AV169" s="175"/>
      <c r="AW169" s="175"/>
      <c r="AX169" s="175"/>
      <c r="AY169" s="175"/>
      <c r="AZ169" s="175"/>
      <c r="BA169" s="175"/>
      <c r="BB169" s="175"/>
      <c r="BC169" s="175"/>
      <c r="BD169" s="175"/>
      <c r="BE169" s="175"/>
      <c r="BF169" s="175"/>
      <c r="BG169" s="175"/>
      <c r="BH169" s="175"/>
      <c r="BI169" s="175"/>
      <c r="BJ169" s="175"/>
      <c r="BK169" s="175"/>
      <c r="BL169" s="175"/>
      <c r="BM169" s="175"/>
      <c r="BN169" s="175"/>
      <c r="BO169" s="175"/>
      <c r="BP169" s="175"/>
      <c r="BQ169" s="175"/>
      <c r="BR169" s="175"/>
      <c r="BS169" s="175"/>
      <c r="BT169" s="175"/>
      <c r="BU169" s="175"/>
      <c r="BV169" s="175"/>
      <c r="BW169" s="175"/>
      <c r="BX169" s="175"/>
      <c r="BY169" s="175"/>
      <c r="BZ169" s="175"/>
      <c r="CA169" s="175"/>
      <c r="CB169" s="175"/>
      <c r="CC169" s="175"/>
      <c r="CD169" s="175"/>
      <c r="CE169" s="175"/>
      <c r="CF169" s="175"/>
      <c r="CG169" s="175"/>
      <c r="CH169" s="175"/>
      <c r="CI169" s="175"/>
      <c r="CJ169" s="175"/>
      <c r="CK169" s="175"/>
      <c r="CL169" s="175"/>
      <c r="CM169" s="175"/>
      <c r="CN169" s="175"/>
      <c r="CO169" s="175"/>
      <c r="CP169" s="175"/>
      <c r="CQ169" s="175"/>
      <c r="CR169" s="175"/>
      <c r="CS169" s="176"/>
    </row>
    <row r="170" spans="2:97" s="40" customFormat="1" ht="16.5" customHeight="1">
      <c r="B170" s="40" t="s">
        <v>778</v>
      </c>
      <c r="C170" s="3"/>
      <c r="D170" s="23"/>
      <c r="E170" s="8"/>
      <c r="F170" s="8"/>
      <c r="G170" s="8"/>
      <c r="H170" s="34"/>
      <c r="I170" s="8"/>
      <c r="J170" s="8"/>
      <c r="K170" s="8"/>
      <c r="L170" s="8"/>
      <c r="M170" s="141"/>
      <c r="N170" s="8"/>
      <c r="O170" s="23"/>
      <c r="P170" s="165"/>
      <c r="Q170" s="165"/>
      <c r="R170" s="165"/>
      <c r="S170" s="172"/>
      <c r="T170" s="165"/>
      <c r="W170" s="177"/>
      <c r="X170" s="175"/>
      <c r="Y170" s="175"/>
      <c r="Z170" s="175"/>
      <c r="AA170" s="175"/>
      <c r="AB170" s="175"/>
      <c r="AC170" s="175"/>
      <c r="AD170" s="175"/>
      <c r="AE170" s="175"/>
      <c r="AF170" s="175"/>
      <c r="AG170" s="175"/>
      <c r="AH170" s="175"/>
      <c r="AI170" s="175"/>
      <c r="AJ170" s="175"/>
      <c r="AK170" s="175"/>
      <c r="AL170" s="175"/>
      <c r="AM170" s="175"/>
      <c r="AN170" s="175"/>
      <c r="AO170" s="175"/>
      <c r="AP170" s="175"/>
      <c r="AQ170" s="175"/>
      <c r="AR170" s="175"/>
      <c r="AS170" s="175"/>
      <c r="AT170" s="175"/>
      <c r="AU170" s="175"/>
      <c r="AV170" s="175"/>
      <c r="AW170" s="175"/>
      <c r="AX170" s="175"/>
      <c r="AY170" s="175"/>
      <c r="AZ170" s="175"/>
      <c r="BA170" s="175"/>
      <c r="BB170" s="175"/>
      <c r="BC170" s="175"/>
      <c r="BD170" s="175"/>
      <c r="BE170" s="175"/>
      <c r="BF170" s="175"/>
      <c r="BG170" s="175"/>
      <c r="BH170" s="175"/>
      <c r="BI170" s="175"/>
      <c r="BJ170" s="175"/>
      <c r="BK170" s="175"/>
      <c r="BL170" s="175"/>
      <c r="BM170" s="175"/>
      <c r="BN170" s="175"/>
      <c r="BO170" s="175"/>
      <c r="BP170" s="175"/>
      <c r="BQ170" s="175"/>
      <c r="BR170" s="175"/>
      <c r="BS170" s="175"/>
      <c r="BT170" s="175"/>
      <c r="BU170" s="175"/>
      <c r="BV170" s="175"/>
      <c r="BW170" s="175"/>
      <c r="BX170" s="175"/>
      <c r="BY170" s="175"/>
      <c r="BZ170" s="175"/>
      <c r="CA170" s="175"/>
      <c r="CB170" s="175"/>
      <c r="CC170" s="175"/>
      <c r="CD170" s="175"/>
      <c r="CE170" s="175"/>
      <c r="CF170" s="175"/>
      <c r="CG170" s="175"/>
      <c r="CH170" s="175"/>
      <c r="CI170" s="175"/>
      <c r="CJ170" s="175"/>
      <c r="CK170" s="175"/>
      <c r="CL170" s="175"/>
      <c r="CM170" s="175"/>
      <c r="CN170" s="175"/>
      <c r="CO170" s="175"/>
      <c r="CP170" s="175"/>
      <c r="CQ170" s="175"/>
      <c r="CR170" s="175"/>
      <c r="CS170" s="176"/>
    </row>
    <row r="171" spans="2:97" s="40" customFormat="1" ht="43.5" customHeight="1">
      <c r="B171" s="154" t="s">
        <v>779</v>
      </c>
      <c r="C171" s="3"/>
      <c r="D171" s="23">
        <f aca="true" t="shared" si="30" ref="D171:E175">F171+H171+J171+L171</f>
        <v>122.797</v>
      </c>
      <c r="E171" s="23">
        <f t="shared" si="30"/>
        <v>122.797</v>
      </c>
      <c r="F171" s="34"/>
      <c r="G171" s="34"/>
      <c r="H171" s="23">
        <v>122.797</v>
      </c>
      <c r="I171" s="23">
        <v>122.797</v>
      </c>
      <c r="J171" s="8"/>
      <c r="K171" s="8"/>
      <c r="L171" s="8"/>
      <c r="M171" s="141"/>
      <c r="N171" s="23">
        <f>D171</f>
        <v>122.797</v>
      </c>
      <c r="O171" s="23"/>
      <c r="P171" s="165"/>
      <c r="Q171" s="165"/>
      <c r="R171" s="165"/>
      <c r="S171" s="172">
        <f>D171-E171</f>
        <v>0</v>
      </c>
      <c r="T171" s="165"/>
      <c r="W171" s="177"/>
      <c r="X171" s="175"/>
      <c r="Y171" s="175"/>
      <c r="Z171" s="175"/>
      <c r="AA171" s="175"/>
      <c r="AB171" s="175"/>
      <c r="AC171" s="175"/>
      <c r="AD171" s="175"/>
      <c r="AE171" s="175"/>
      <c r="AF171" s="175"/>
      <c r="AG171" s="175"/>
      <c r="AH171" s="175"/>
      <c r="AI171" s="175"/>
      <c r="AJ171" s="175"/>
      <c r="AK171" s="175"/>
      <c r="AL171" s="175"/>
      <c r="AM171" s="175"/>
      <c r="AN171" s="175"/>
      <c r="AO171" s="175"/>
      <c r="AP171" s="175"/>
      <c r="AQ171" s="175"/>
      <c r="AR171" s="175"/>
      <c r="AS171" s="175"/>
      <c r="AT171" s="175"/>
      <c r="AU171" s="175"/>
      <c r="AV171" s="175"/>
      <c r="AW171" s="175"/>
      <c r="AX171" s="175"/>
      <c r="AY171" s="175"/>
      <c r="AZ171" s="175"/>
      <c r="BA171" s="175"/>
      <c r="BB171" s="175"/>
      <c r="BC171" s="175"/>
      <c r="BD171" s="175"/>
      <c r="BE171" s="175"/>
      <c r="BF171" s="175"/>
      <c r="BG171" s="175"/>
      <c r="BH171" s="175"/>
      <c r="BI171" s="175"/>
      <c r="BJ171" s="175"/>
      <c r="BK171" s="175"/>
      <c r="BL171" s="175"/>
      <c r="BM171" s="175"/>
      <c r="BN171" s="175"/>
      <c r="BO171" s="175"/>
      <c r="BP171" s="175"/>
      <c r="BQ171" s="175"/>
      <c r="BR171" s="175"/>
      <c r="BS171" s="175"/>
      <c r="BT171" s="175"/>
      <c r="BU171" s="175"/>
      <c r="BV171" s="175"/>
      <c r="BW171" s="175"/>
      <c r="BX171" s="175"/>
      <c r="BY171" s="175"/>
      <c r="BZ171" s="175"/>
      <c r="CA171" s="175"/>
      <c r="CB171" s="175"/>
      <c r="CC171" s="175"/>
      <c r="CD171" s="175"/>
      <c r="CE171" s="175"/>
      <c r="CF171" s="175"/>
      <c r="CG171" s="175"/>
      <c r="CH171" s="175"/>
      <c r="CI171" s="175"/>
      <c r="CJ171" s="175"/>
      <c r="CK171" s="175"/>
      <c r="CL171" s="175"/>
      <c r="CM171" s="175"/>
      <c r="CN171" s="175"/>
      <c r="CO171" s="175"/>
      <c r="CP171" s="175"/>
      <c r="CQ171" s="175"/>
      <c r="CR171" s="175"/>
      <c r="CS171" s="176"/>
    </row>
    <row r="172" spans="2:97" s="40" customFormat="1" ht="30.75" customHeight="1">
      <c r="B172" s="154" t="s">
        <v>780</v>
      </c>
      <c r="C172" s="3"/>
      <c r="D172" s="23">
        <f t="shared" si="30"/>
        <v>104.574</v>
      </c>
      <c r="E172" s="23">
        <f t="shared" si="30"/>
        <v>104.575</v>
      </c>
      <c r="F172" s="34"/>
      <c r="G172" s="34"/>
      <c r="H172" s="23">
        <v>31.574</v>
      </c>
      <c r="I172" s="23">
        <v>31.574</v>
      </c>
      <c r="J172" s="8"/>
      <c r="K172" s="8"/>
      <c r="L172" s="8">
        <v>73</v>
      </c>
      <c r="M172" s="141">
        <v>73.001</v>
      </c>
      <c r="N172" s="23">
        <f>D172</f>
        <v>104.574</v>
      </c>
      <c r="O172" s="23"/>
      <c r="P172" s="165"/>
      <c r="Q172" s="165"/>
      <c r="R172" s="165"/>
      <c r="S172" s="172">
        <f>D172-E172</f>
        <v>-0.0010000000000047748</v>
      </c>
      <c r="T172" s="165"/>
      <c r="W172" s="177"/>
      <c r="X172" s="175"/>
      <c r="Y172" s="175"/>
      <c r="Z172" s="175"/>
      <c r="AA172" s="175"/>
      <c r="AB172" s="175"/>
      <c r="AC172" s="175"/>
      <c r="AD172" s="175"/>
      <c r="AE172" s="175"/>
      <c r="AF172" s="175"/>
      <c r="AG172" s="175"/>
      <c r="AH172" s="175"/>
      <c r="AI172" s="175"/>
      <c r="AJ172" s="175"/>
      <c r="AK172" s="175"/>
      <c r="AL172" s="175"/>
      <c r="AM172" s="175"/>
      <c r="AN172" s="175"/>
      <c r="AO172" s="175"/>
      <c r="AP172" s="175"/>
      <c r="AQ172" s="175"/>
      <c r="AR172" s="175"/>
      <c r="AS172" s="175"/>
      <c r="AT172" s="175"/>
      <c r="AU172" s="175"/>
      <c r="AV172" s="175"/>
      <c r="AW172" s="175"/>
      <c r="AX172" s="175"/>
      <c r="AY172" s="175"/>
      <c r="AZ172" s="175"/>
      <c r="BA172" s="175"/>
      <c r="BB172" s="175"/>
      <c r="BC172" s="175"/>
      <c r="BD172" s="175"/>
      <c r="BE172" s="175"/>
      <c r="BF172" s="175"/>
      <c r="BG172" s="175"/>
      <c r="BH172" s="175"/>
      <c r="BI172" s="175"/>
      <c r="BJ172" s="175"/>
      <c r="BK172" s="175"/>
      <c r="BL172" s="175"/>
      <c r="BM172" s="175"/>
      <c r="BN172" s="175"/>
      <c r="BO172" s="175"/>
      <c r="BP172" s="175"/>
      <c r="BQ172" s="175"/>
      <c r="BR172" s="175"/>
      <c r="BS172" s="175"/>
      <c r="BT172" s="175"/>
      <c r="BU172" s="175"/>
      <c r="BV172" s="175"/>
      <c r="BW172" s="175"/>
      <c r="BX172" s="175"/>
      <c r="BY172" s="175"/>
      <c r="BZ172" s="175"/>
      <c r="CA172" s="175"/>
      <c r="CB172" s="175"/>
      <c r="CC172" s="175"/>
      <c r="CD172" s="175"/>
      <c r="CE172" s="175"/>
      <c r="CF172" s="175"/>
      <c r="CG172" s="175"/>
      <c r="CH172" s="175"/>
      <c r="CI172" s="175"/>
      <c r="CJ172" s="175"/>
      <c r="CK172" s="175"/>
      <c r="CL172" s="175"/>
      <c r="CM172" s="175"/>
      <c r="CN172" s="175"/>
      <c r="CO172" s="175"/>
      <c r="CP172" s="175"/>
      <c r="CQ172" s="175"/>
      <c r="CR172" s="175"/>
      <c r="CS172" s="176"/>
    </row>
    <row r="173" spans="2:97" s="40" customFormat="1" ht="29.25" customHeight="1">
      <c r="B173" s="154" t="s">
        <v>781</v>
      </c>
      <c r="C173" s="3"/>
      <c r="D173" s="23">
        <f t="shared" si="30"/>
        <v>91.38</v>
      </c>
      <c r="E173" s="23">
        <f t="shared" si="30"/>
        <v>91.38</v>
      </c>
      <c r="F173" s="34"/>
      <c r="G173" s="34"/>
      <c r="H173" s="23">
        <v>91.38</v>
      </c>
      <c r="I173" s="23">
        <v>91.38</v>
      </c>
      <c r="J173" s="8"/>
      <c r="K173" s="8"/>
      <c r="L173" s="8"/>
      <c r="M173" s="141"/>
      <c r="N173" s="23">
        <f>D173</f>
        <v>91.38</v>
      </c>
      <c r="O173" s="23"/>
      <c r="P173" s="165"/>
      <c r="Q173" s="165"/>
      <c r="R173" s="165"/>
      <c r="S173" s="172">
        <f>D173-E173</f>
        <v>0</v>
      </c>
      <c r="T173" s="165"/>
      <c r="W173" s="13"/>
      <c r="X173" s="175"/>
      <c r="Y173" s="175"/>
      <c r="Z173" s="175"/>
      <c r="AA173" s="175"/>
      <c r="AB173" s="175"/>
      <c r="AC173" s="175"/>
      <c r="AD173" s="175"/>
      <c r="AE173" s="175"/>
      <c r="AF173" s="175"/>
      <c r="AG173" s="175"/>
      <c r="AH173" s="175"/>
      <c r="AI173" s="175"/>
      <c r="AJ173" s="175"/>
      <c r="AK173" s="175"/>
      <c r="AL173" s="175"/>
      <c r="AM173" s="175"/>
      <c r="AN173" s="175"/>
      <c r="AO173" s="175"/>
      <c r="AP173" s="175"/>
      <c r="AQ173" s="175"/>
      <c r="AR173" s="175"/>
      <c r="AS173" s="175"/>
      <c r="AT173" s="175"/>
      <c r="AU173" s="175"/>
      <c r="AV173" s="175"/>
      <c r="AW173" s="175"/>
      <c r="AX173" s="175"/>
      <c r="AY173" s="175"/>
      <c r="AZ173" s="175"/>
      <c r="BA173" s="175"/>
      <c r="BB173" s="175"/>
      <c r="BC173" s="175"/>
      <c r="BD173" s="175"/>
      <c r="BE173" s="175"/>
      <c r="BF173" s="175"/>
      <c r="BG173" s="175"/>
      <c r="BH173" s="175"/>
      <c r="BI173" s="175"/>
      <c r="BJ173" s="175"/>
      <c r="BK173" s="175"/>
      <c r="BL173" s="175"/>
      <c r="BM173" s="175"/>
      <c r="BN173" s="175"/>
      <c r="BO173" s="175"/>
      <c r="BP173" s="175"/>
      <c r="BQ173" s="175"/>
      <c r="BR173" s="175"/>
      <c r="BS173" s="175"/>
      <c r="BT173" s="175"/>
      <c r="BU173" s="175"/>
      <c r="BV173" s="175"/>
      <c r="BW173" s="175"/>
      <c r="BX173" s="175"/>
      <c r="BY173" s="175"/>
      <c r="BZ173" s="175"/>
      <c r="CA173" s="175"/>
      <c r="CB173" s="175"/>
      <c r="CC173" s="175"/>
      <c r="CD173" s="175"/>
      <c r="CE173" s="175"/>
      <c r="CF173" s="175"/>
      <c r="CG173" s="175"/>
      <c r="CH173" s="175"/>
      <c r="CI173" s="175"/>
      <c r="CJ173" s="175"/>
      <c r="CK173" s="175"/>
      <c r="CL173" s="175"/>
      <c r="CM173" s="175"/>
      <c r="CN173" s="175"/>
      <c r="CO173" s="175"/>
      <c r="CP173" s="175"/>
      <c r="CQ173" s="175"/>
      <c r="CR173" s="175"/>
      <c r="CS173" s="176"/>
    </row>
    <row r="174" spans="2:97" s="40" customFormat="1" ht="28.5" customHeight="1">
      <c r="B174" s="154" t="s">
        <v>782</v>
      </c>
      <c r="C174" s="3"/>
      <c r="D174" s="23">
        <f t="shared" si="30"/>
        <v>143.12</v>
      </c>
      <c r="E174" s="23">
        <f t="shared" si="30"/>
        <v>143.12</v>
      </c>
      <c r="F174" s="34"/>
      <c r="G174" s="34"/>
      <c r="H174" s="23">
        <v>143.12</v>
      </c>
      <c r="I174" s="23">
        <v>143.12</v>
      </c>
      <c r="J174" s="8"/>
      <c r="K174" s="8"/>
      <c r="L174" s="8"/>
      <c r="M174" s="141"/>
      <c r="N174" s="23">
        <f>D174</f>
        <v>143.12</v>
      </c>
      <c r="O174" s="23"/>
      <c r="P174" s="165"/>
      <c r="Q174" s="165"/>
      <c r="R174" s="165"/>
      <c r="S174" s="172">
        <f>D174-E174</f>
        <v>0</v>
      </c>
      <c r="T174" s="165"/>
      <c r="U174" s="3"/>
      <c r="W174" s="13"/>
      <c r="X174" s="175"/>
      <c r="Y174" s="175"/>
      <c r="Z174" s="175"/>
      <c r="AA174" s="175"/>
      <c r="AB174" s="175"/>
      <c r="AC174" s="175"/>
      <c r="AD174" s="175"/>
      <c r="AE174" s="175"/>
      <c r="AF174" s="175"/>
      <c r="AG174" s="175"/>
      <c r="AH174" s="175"/>
      <c r="AI174" s="175"/>
      <c r="AJ174" s="175"/>
      <c r="AK174" s="175"/>
      <c r="AL174" s="175"/>
      <c r="AM174" s="175"/>
      <c r="AN174" s="175"/>
      <c r="AO174" s="175"/>
      <c r="AP174" s="175"/>
      <c r="AQ174" s="175"/>
      <c r="AR174" s="175"/>
      <c r="AS174" s="175"/>
      <c r="AT174" s="175"/>
      <c r="AU174" s="175"/>
      <c r="AV174" s="175"/>
      <c r="AW174" s="175"/>
      <c r="AX174" s="175"/>
      <c r="AY174" s="175"/>
      <c r="AZ174" s="175"/>
      <c r="BA174" s="175"/>
      <c r="BB174" s="175"/>
      <c r="BC174" s="175"/>
      <c r="BD174" s="175"/>
      <c r="BE174" s="175"/>
      <c r="BF174" s="175"/>
      <c r="BG174" s="175"/>
      <c r="BH174" s="175"/>
      <c r="BI174" s="175"/>
      <c r="BJ174" s="175"/>
      <c r="BK174" s="175"/>
      <c r="BL174" s="175"/>
      <c r="BM174" s="175"/>
      <c r="BN174" s="175"/>
      <c r="BO174" s="175"/>
      <c r="BP174" s="175"/>
      <c r="BQ174" s="175"/>
      <c r="BR174" s="175"/>
      <c r="BS174" s="175"/>
      <c r="BT174" s="175"/>
      <c r="BU174" s="175"/>
      <c r="BV174" s="175"/>
      <c r="BW174" s="175"/>
      <c r="BX174" s="175"/>
      <c r="BY174" s="175"/>
      <c r="BZ174" s="175"/>
      <c r="CA174" s="175"/>
      <c r="CB174" s="175"/>
      <c r="CC174" s="175"/>
      <c r="CD174" s="175"/>
      <c r="CE174" s="175"/>
      <c r="CF174" s="175"/>
      <c r="CG174" s="175"/>
      <c r="CH174" s="175"/>
      <c r="CI174" s="175"/>
      <c r="CJ174" s="175"/>
      <c r="CK174" s="175"/>
      <c r="CL174" s="175"/>
      <c r="CM174" s="175"/>
      <c r="CN174" s="175"/>
      <c r="CO174" s="175"/>
      <c r="CP174" s="175"/>
      <c r="CQ174" s="175"/>
      <c r="CR174" s="175"/>
      <c r="CS174" s="176"/>
    </row>
    <row r="175" spans="2:97" s="40" customFormat="1" ht="42" customHeight="1">
      <c r="B175" s="13" t="s">
        <v>783</v>
      </c>
      <c r="C175" s="3"/>
      <c r="D175" s="23">
        <f t="shared" si="30"/>
        <v>370.049</v>
      </c>
      <c r="E175" s="23">
        <f t="shared" si="30"/>
        <v>370.049</v>
      </c>
      <c r="F175" s="34"/>
      <c r="G175" s="34"/>
      <c r="H175" s="34"/>
      <c r="I175" s="23"/>
      <c r="J175" s="167">
        <f>370.049</f>
        <v>370.049</v>
      </c>
      <c r="K175" s="167">
        <f>370.049</f>
        <v>370.049</v>
      </c>
      <c r="L175" s="8"/>
      <c r="M175" s="141"/>
      <c r="N175" s="23">
        <f>D175</f>
        <v>370.049</v>
      </c>
      <c r="O175" s="23"/>
      <c r="P175" s="165"/>
      <c r="Q175" s="165"/>
      <c r="R175" s="165"/>
      <c r="S175" s="172">
        <f>D175-E175</f>
        <v>0</v>
      </c>
      <c r="T175" s="165"/>
      <c r="U175" s="3"/>
      <c r="W175" s="177"/>
      <c r="X175" s="175"/>
      <c r="Y175" s="175"/>
      <c r="Z175" s="175"/>
      <c r="AA175" s="175"/>
      <c r="AB175" s="175"/>
      <c r="AC175" s="175"/>
      <c r="AD175" s="175"/>
      <c r="AE175" s="175"/>
      <c r="AF175" s="175"/>
      <c r="AG175" s="175"/>
      <c r="AH175" s="175"/>
      <c r="AI175" s="175"/>
      <c r="AJ175" s="175"/>
      <c r="AK175" s="175"/>
      <c r="AL175" s="175"/>
      <c r="AM175" s="175"/>
      <c r="AN175" s="175"/>
      <c r="AO175" s="175"/>
      <c r="AP175" s="175"/>
      <c r="AQ175" s="175"/>
      <c r="AR175" s="175"/>
      <c r="AS175" s="175"/>
      <c r="AT175" s="175"/>
      <c r="AU175" s="175"/>
      <c r="AV175" s="175"/>
      <c r="AW175" s="175"/>
      <c r="AX175" s="175"/>
      <c r="AY175" s="175"/>
      <c r="AZ175" s="175"/>
      <c r="BA175" s="175"/>
      <c r="BB175" s="175"/>
      <c r="BC175" s="175"/>
      <c r="BD175" s="175"/>
      <c r="BE175" s="175"/>
      <c r="BF175" s="175"/>
      <c r="BG175" s="175"/>
      <c r="BH175" s="175"/>
      <c r="BI175" s="175"/>
      <c r="BJ175" s="175"/>
      <c r="BK175" s="175"/>
      <c r="BL175" s="175"/>
      <c r="BM175" s="175"/>
      <c r="BN175" s="175"/>
      <c r="BO175" s="175"/>
      <c r="BP175" s="175"/>
      <c r="BQ175" s="175"/>
      <c r="BR175" s="175"/>
      <c r="BS175" s="175"/>
      <c r="BT175" s="175"/>
      <c r="BU175" s="175"/>
      <c r="BV175" s="175"/>
      <c r="BW175" s="175"/>
      <c r="BX175" s="175"/>
      <c r="BY175" s="175"/>
      <c r="BZ175" s="175"/>
      <c r="CA175" s="175"/>
      <c r="CB175" s="175"/>
      <c r="CC175" s="175"/>
      <c r="CD175" s="175"/>
      <c r="CE175" s="175"/>
      <c r="CF175" s="175"/>
      <c r="CG175" s="175"/>
      <c r="CH175" s="175"/>
      <c r="CI175" s="175"/>
      <c r="CJ175" s="175"/>
      <c r="CK175" s="175"/>
      <c r="CL175" s="175"/>
      <c r="CM175" s="175"/>
      <c r="CN175" s="175"/>
      <c r="CO175" s="175"/>
      <c r="CP175" s="175"/>
      <c r="CQ175" s="175"/>
      <c r="CR175" s="175"/>
      <c r="CS175" s="176"/>
    </row>
    <row r="176" spans="2:97" s="40" customFormat="1" ht="16.5" customHeight="1">
      <c r="B176" s="40" t="s">
        <v>784</v>
      </c>
      <c r="C176" s="3"/>
      <c r="D176" s="23"/>
      <c r="E176" s="23"/>
      <c r="F176" s="34"/>
      <c r="G176" s="34"/>
      <c r="H176" s="34"/>
      <c r="I176" s="23"/>
      <c r="J176" s="8"/>
      <c r="K176" s="8"/>
      <c r="L176" s="8"/>
      <c r="M176" s="141"/>
      <c r="N176" s="8"/>
      <c r="O176" s="23"/>
      <c r="P176" s="165"/>
      <c r="Q176" s="165"/>
      <c r="R176" s="165"/>
      <c r="S176" s="172"/>
      <c r="T176" s="165"/>
      <c r="U176" s="3"/>
      <c r="W176" s="177"/>
      <c r="X176" s="175"/>
      <c r="Y176" s="175"/>
      <c r="Z176" s="175"/>
      <c r="AA176" s="175"/>
      <c r="AB176" s="175"/>
      <c r="AC176" s="175"/>
      <c r="AD176" s="175"/>
      <c r="AE176" s="175"/>
      <c r="AF176" s="175"/>
      <c r="AG176" s="175"/>
      <c r="AH176" s="175"/>
      <c r="AI176" s="175"/>
      <c r="AJ176" s="175"/>
      <c r="AK176" s="175"/>
      <c r="AL176" s="175"/>
      <c r="AM176" s="175"/>
      <c r="AN176" s="175"/>
      <c r="AO176" s="175"/>
      <c r="AP176" s="175"/>
      <c r="AQ176" s="175"/>
      <c r="AR176" s="175"/>
      <c r="AS176" s="175"/>
      <c r="AT176" s="175"/>
      <c r="AU176" s="175"/>
      <c r="AV176" s="175"/>
      <c r="AW176" s="175"/>
      <c r="AX176" s="175"/>
      <c r="AY176" s="175"/>
      <c r="AZ176" s="175"/>
      <c r="BA176" s="175"/>
      <c r="BB176" s="175"/>
      <c r="BC176" s="175"/>
      <c r="BD176" s="175"/>
      <c r="BE176" s="175"/>
      <c r="BF176" s="175"/>
      <c r="BG176" s="175"/>
      <c r="BH176" s="175"/>
      <c r="BI176" s="175"/>
      <c r="BJ176" s="175"/>
      <c r="BK176" s="175"/>
      <c r="BL176" s="175"/>
      <c r="BM176" s="175"/>
      <c r="BN176" s="175"/>
      <c r="BO176" s="175"/>
      <c r="BP176" s="175"/>
      <c r="BQ176" s="175"/>
      <c r="BR176" s="175"/>
      <c r="BS176" s="175"/>
      <c r="BT176" s="175"/>
      <c r="BU176" s="175"/>
      <c r="BV176" s="175"/>
      <c r="BW176" s="175"/>
      <c r="BX176" s="175"/>
      <c r="BY176" s="175"/>
      <c r="BZ176" s="175"/>
      <c r="CA176" s="175"/>
      <c r="CB176" s="175"/>
      <c r="CC176" s="175"/>
      <c r="CD176" s="175"/>
      <c r="CE176" s="175"/>
      <c r="CF176" s="175"/>
      <c r="CG176" s="175"/>
      <c r="CH176" s="175"/>
      <c r="CI176" s="175"/>
      <c r="CJ176" s="175"/>
      <c r="CK176" s="175"/>
      <c r="CL176" s="175"/>
      <c r="CM176" s="175"/>
      <c r="CN176" s="175"/>
      <c r="CO176" s="175"/>
      <c r="CP176" s="175"/>
      <c r="CQ176" s="175"/>
      <c r="CR176" s="175"/>
      <c r="CS176" s="176"/>
    </row>
    <row r="177" spans="2:97" s="40" customFormat="1" ht="43.5" customHeight="1">
      <c r="B177" s="154" t="s">
        <v>785</v>
      </c>
      <c r="C177" s="3"/>
      <c r="D177" s="23">
        <f>F177+H177+J177+L177</f>
        <v>455.583</v>
      </c>
      <c r="E177" s="23">
        <f>G177+I177+K177+M177</f>
        <v>455.583</v>
      </c>
      <c r="F177" s="34"/>
      <c r="G177" s="34"/>
      <c r="H177" s="23">
        <v>455.583</v>
      </c>
      <c r="I177" s="23">
        <v>455.583</v>
      </c>
      <c r="J177" s="8"/>
      <c r="K177" s="8"/>
      <c r="L177" s="8"/>
      <c r="M177" s="141"/>
      <c r="N177" s="23">
        <f>D177</f>
        <v>455.583</v>
      </c>
      <c r="O177" s="23"/>
      <c r="P177" s="165"/>
      <c r="Q177" s="165"/>
      <c r="R177" s="165"/>
      <c r="S177" s="172">
        <f>D177-E177</f>
        <v>0</v>
      </c>
      <c r="T177" s="165"/>
      <c r="U177" s="3"/>
      <c r="W177" s="177"/>
      <c r="X177" s="175"/>
      <c r="Y177" s="175"/>
      <c r="Z177" s="175"/>
      <c r="AA177" s="175"/>
      <c r="AB177" s="175"/>
      <c r="AC177" s="175"/>
      <c r="AD177" s="175"/>
      <c r="AE177" s="175"/>
      <c r="AF177" s="175"/>
      <c r="AG177" s="175"/>
      <c r="AH177" s="175"/>
      <c r="AI177" s="175"/>
      <c r="AJ177" s="175"/>
      <c r="AK177" s="175"/>
      <c r="AL177" s="175"/>
      <c r="AM177" s="175"/>
      <c r="AN177" s="175"/>
      <c r="AO177" s="175"/>
      <c r="AP177" s="175"/>
      <c r="AQ177" s="175"/>
      <c r="AR177" s="175"/>
      <c r="AS177" s="175"/>
      <c r="AT177" s="175"/>
      <c r="AU177" s="175"/>
      <c r="AV177" s="175"/>
      <c r="AW177" s="175"/>
      <c r="AX177" s="175"/>
      <c r="AY177" s="175"/>
      <c r="AZ177" s="175"/>
      <c r="BA177" s="175"/>
      <c r="BB177" s="175"/>
      <c r="BC177" s="175"/>
      <c r="BD177" s="175"/>
      <c r="BE177" s="175"/>
      <c r="BF177" s="175"/>
      <c r="BG177" s="175"/>
      <c r="BH177" s="175"/>
      <c r="BI177" s="175"/>
      <c r="BJ177" s="175"/>
      <c r="BK177" s="175"/>
      <c r="BL177" s="175"/>
      <c r="BM177" s="175"/>
      <c r="BN177" s="175"/>
      <c r="BO177" s="175"/>
      <c r="BP177" s="175"/>
      <c r="BQ177" s="175"/>
      <c r="BR177" s="175"/>
      <c r="BS177" s="175"/>
      <c r="BT177" s="175"/>
      <c r="BU177" s="175"/>
      <c r="BV177" s="175"/>
      <c r="BW177" s="175"/>
      <c r="BX177" s="175"/>
      <c r="BY177" s="175"/>
      <c r="BZ177" s="175"/>
      <c r="CA177" s="175"/>
      <c r="CB177" s="175"/>
      <c r="CC177" s="175"/>
      <c r="CD177" s="175"/>
      <c r="CE177" s="175"/>
      <c r="CF177" s="175"/>
      <c r="CG177" s="175"/>
      <c r="CH177" s="175"/>
      <c r="CI177" s="175"/>
      <c r="CJ177" s="175"/>
      <c r="CK177" s="175"/>
      <c r="CL177" s="175"/>
      <c r="CM177" s="175"/>
      <c r="CN177" s="175"/>
      <c r="CO177" s="175"/>
      <c r="CP177" s="175"/>
      <c r="CQ177" s="175"/>
      <c r="CR177" s="175"/>
      <c r="CS177" s="176"/>
    </row>
    <row r="178" spans="2:97" s="40" customFormat="1" ht="43.5" customHeight="1">
      <c r="B178" s="154" t="s">
        <v>786</v>
      </c>
      <c r="C178" s="3"/>
      <c r="D178" s="23">
        <f>F178+H178+J178+L178</f>
        <v>441</v>
      </c>
      <c r="E178" s="23">
        <f>G178+I178+K178+M178</f>
        <v>471.288</v>
      </c>
      <c r="F178" s="34"/>
      <c r="G178" s="34"/>
      <c r="H178" s="23"/>
      <c r="I178" s="23"/>
      <c r="J178" s="8"/>
      <c r="K178" s="8"/>
      <c r="L178" s="8">
        <v>441</v>
      </c>
      <c r="M178" s="141">
        <f>107.07+364.218</f>
        <v>471.288</v>
      </c>
      <c r="N178" s="23">
        <f>E178</f>
        <v>471.288</v>
      </c>
      <c r="O178" s="23"/>
      <c r="P178" s="165"/>
      <c r="Q178" s="165"/>
      <c r="R178" s="165"/>
      <c r="S178" s="172"/>
      <c r="T178" s="165"/>
      <c r="U178" s="3"/>
      <c r="W178" s="177"/>
      <c r="X178" s="175"/>
      <c r="Y178" s="175"/>
      <c r="Z178" s="175"/>
      <c r="AA178" s="175"/>
      <c r="AB178" s="175"/>
      <c r="AC178" s="175"/>
      <c r="AD178" s="175"/>
      <c r="AE178" s="175"/>
      <c r="AF178" s="175"/>
      <c r="AG178" s="175"/>
      <c r="AH178" s="175"/>
      <c r="AI178" s="175"/>
      <c r="AJ178" s="175"/>
      <c r="AK178" s="175"/>
      <c r="AL178" s="175"/>
      <c r="AM178" s="175"/>
      <c r="AN178" s="175"/>
      <c r="AO178" s="175"/>
      <c r="AP178" s="175"/>
      <c r="AQ178" s="175"/>
      <c r="AR178" s="175"/>
      <c r="AS178" s="175"/>
      <c r="AT178" s="175"/>
      <c r="AU178" s="175"/>
      <c r="AV178" s="175"/>
      <c r="AW178" s="175"/>
      <c r="AX178" s="175"/>
      <c r="AY178" s="175"/>
      <c r="AZ178" s="175"/>
      <c r="BA178" s="175"/>
      <c r="BB178" s="175"/>
      <c r="BC178" s="175"/>
      <c r="BD178" s="175"/>
      <c r="BE178" s="175"/>
      <c r="BF178" s="175"/>
      <c r="BG178" s="175"/>
      <c r="BH178" s="175"/>
      <c r="BI178" s="175"/>
      <c r="BJ178" s="175"/>
      <c r="BK178" s="175"/>
      <c r="BL178" s="175"/>
      <c r="BM178" s="175"/>
      <c r="BN178" s="175"/>
      <c r="BO178" s="175"/>
      <c r="BP178" s="175"/>
      <c r="BQ178" s="175"/>
      <c r="BR178" s="175"/>
      <c r="BS178" s="175"/>
      <c r="BT178" s="175"/>
      <c r="BU178" s="175"/>
      <c r="BV178" s="175"/>
      <c r="BW178" s="175"/>
      <c r="BX178" s="175"/>
      <c r="BY178" s="175"/>
      <c r="BZ178" s="175"/>
      <c r="CA178" s="175"/>
      <c r="CB178" s="175"/>
      <c r="CC178" s="175"/>
      <c r="CD178" s="175"/>
      <c r="CE178" s="175"/>
      <c r="CF178" s="175"/>
      <c r="CG178" s="175"/>
      <c r="CH178" s="175"/>
      <c r="CI178" s="175"/>
      <c r="CJ178" s="175"/>
      <c r="CK178" s="175"/>
      <c r="CL178" s="175"/>
      <c r="CM178" s="175"/>
      <c r="CN178" s="175"/>
      <c r="CO178" s="175"/>
      <c r="CP178" s="175"/>
      <c r="CQ178" s="175"/>
      <c r="CR178" s="175"/>
      <c r="CS178" s="176"/>
    </row>
    <row r="179" spans="2:97" s="40" customFormat="1" ht="16.5" customHeight="1">
      <c r="B179" s="40" t="s">
        <v>787</v>
      </c>
      <c r="C179" s="3"/>
      <c r="D179" s="23"/>
      <c r="E179" s="23"/>
      <c r="F179" s="34"/>
      <c r="G179" s="34"/>
      <c r="H179" s="23"/>
      <c r="I179" s="23"/>
      <c r="J179" s="8"/>
      <c r="K179" s="8"/>
      <c r="L179" s="8"/>
      <c r="M179" s="141"/>
      <c r="N179" s="8"/>
      <c r="O179" s="23"/>
      <c r="P179" s="165"/>
      <c r="Q179" s="165"/>
      <c r="R179" s="165"/>
      <c r="S179" s="172"/>
      <c r="T179" s="165"/>
      <c r="U179" s="3"/>
      <c r="W179" s="177"/>
      <c r="X179" s="175"/>
      <c r="Y179" s="175"/>
      <c r="Z179" s="175"/>
      <c r="AA179" s="175"/>
      <c r="AB179" s="175"/>
      <c r="AC179" s="175"/>
      <c r="AD179" s="175"/>
      <c r="AE179" s="175"/>
      <c r="AF179" s="175"/>
      <c r="AG179" s="175"/>
      <c r="AH179" s="175"/>
      <c r="AI179" s="175"/>
      <c r="AJ179" s="175"/>
      <c r="AK179" s="175"/>
      <c r="AL179" s="175"/>
      <c r="AM179" s="175"/>
      <c r="AN179" s="175"/>
      <c r="AO179" s="175"/>
      <c r="AP179" s="175"/>
      <c r="AQ179" s="175"/>
      <c r="AR179" s="175"/>
      <c r="AS179" s="175"/>
      <c r="AT179" s="175"/>
      <c r="AU179" s="175"/>
      <c r="AV179" s="175"/>
      <c r="AW179" s="175"/>
      <c r="AX179" s="175"/>
      <c r="AY179" s="175"/>
      <c r="AZ179" s="175"/>
      <c r="BA179" s="175"/>
      <c r="BB179" s="175"/>
      <c r="BC179" s="175"/>
      <c r="BD179" s="175"/>
      <c r="BE179" s="175"/>
      <c r="BF179" s="175"/>
      <c r="BG179" s="175"/>
      <c r="BH179" s="175"/>
      <c r="BI179" s="175"/>
      <c r="BJ179" s="175"/>
      <c r="BK179" s="175"/>
      <c r="BL179" s="175"/>
      <c r="BM179" s="175"/>
      <c r="BN179" s="175"/>
      <c r="BO179" s="175"/>
      <c r="BP179" s="175"/>
      <c r="BQ179" s="175"/>
      <c r="BR179" s="175"/>
      <c r="BS179" s="175"/>
      <c r="BT179" s="175"/>
      <c r="BU179" s="175"/>
      <c r="BV179" s="175"/>
      <c r="BW179" s="175"/>
      <c r="BX179" s="175"/>
      <c r="BY179" s="175"/>
      <c r="BZ179" s="175"/>
      <c r="CA179" s="175"/>
      <c r="CB179" s="175"/>
      <c r="CC179" s="175"/>
      <c r="CD179" s="175"/>
      <c r="CE179" s="175"/>
      <c r="CF179" s="175"/>
      <c r="CG179" s="175"/>
      <c r="CH179" s="175"/>
      <c r="CI179" s="175"/>
      <c r="CJ179" s="175"/>
      <c r="CK179" s="175"/>
      <c r="CL179" s="175"/>
      <c r="CM179" s="175"/>
      <c r="CN179" s="175"/>
      <c r="CO179" s="175"/>
      <c r="CP179" s="175"/>
      <c r="CQ179" s="175"/>
      <c r="CR179" s="175"/>
      <c r="CS179" s="176"/>
    </row>
    <row r="180" spans="2:97" s="40" customFormat="1" ht="33" customHeight="1">
      <c r="B180" s="177" t="s">
        <v>788</v>
      </c>
      <c r="C180" s="3"/>
      <c r="D180" s="23">
        <f aca="true" t="shared" si="31" ref="D180:E182">F180+H180+J180+L180</f>
        <v>13.142</v>
      </c>
      <c r="E180" s="23">
        <f t="shared" si="31"/>
        <v>13.142</v>
      </c>
      <c r="F180" s="34"/>
      <c r="G180" s="34"/>
      <c r="H180" s="23">
        <v>13.142</v>
      </c>
      <c r="I180" s="23">
        <v>13.142</v>
      </c>
      <c r="J180" s="8"/>
      <c r="K180" s="8"/>
      <c r="L180" s="8"/>
      <c r="M180" s="141"/>
      <c r="N180" s="23">
        <f>D180</f>
        <v>13.142</v>
      </c>
      <c r="O180" s="23"/>
      <c r="P180" s="165"/>
      <c r="Q180" s="165"/>
      <c r="R180" s="165"/>
      <c r="S180" s="172">
        <f>D180-E180</f>
        <v>0</v>
      </c>
      <c r="T180" s="165"/>
      <c r="U180" s="3"/>
      <c r="W180" s="13"/>
      <c r="X180" s="175"/>
      <c r="Y180" s="175"/>
      <c r="Z180" s="175"/>
      <c r="AA180" s="175"/>
      <c r="AB180" s="175"/>
      <c r="AC180" s="175"/>
      <c r="AD180" s="175"/>
      <c r="AE180" s="175"/>
      <c r="AF180" s="175"/>
      <c r="AG180" s="175"/>
      <c r="AH180" s="175"/>
      <c r="AI180" s="175"/>
      <c r="AJ180" s="175"/>
      <c r="AK180" s="175"/>
      <c r="AL180" s="175"/>
      <c r="AM180" s="175"/>
      <c r="AN180" s="175"/>
      <c r="AO180" s="175"/>
      <c r="AP180" s="175"/>
      <c r="AQ180" s="175"/>
      <c r="AR180" s="175"/>
      <c r="AS180" s="175"/>
      <c r="AT180" s="175"/>
      <c r="AU180" s="175"/>
      <c r="AV180" s="175"/>
      <c r="AW180" s="175"/>
      <c r="AX180" s="175"/>
      <c r="AY180" s="175"/>
      <c r="AZ180" s="175"/>
      <c r="BA180" s="175"/>
      <c r="BB180" s="175"/>
      <c r="BC180" s="175"/>
      <c r="BD180" s="175"/>
      <c r="BE180" s="175"/>
      <c r="BF180" s="175"/>
      <c r="BG180" s="175"/>
      <c r="BH180" s="175"/>
      <c r="BI180" s="175"/>
      <c r="BJ180" s="175"/>
      <c r="BK180" s="175"/>
      <c r="BL180" s="175"/>
      <c r="BM180" s="175"/>
      <c r="BN180" s="175"/>
      <c r="BO180" s="175"/>
      <c r="BP180" s="175"/>
      <c r="BQ180" s="175"/>
      <c r="BR180" s="175"/>
      <c r="BS180" s="175"/>
      <c r="BT180" s="175"/>
      <c r="BU180" s="175"/>
      <c r="BV180" s="175"/>
      <c r="BW180" s="175"/>
      <c r="BX180" s="175"/>
      <c r="BY180" s="175"/>
      <c r="BZ180" s="175"/>
      <c r="CA180" s="175"/>
      <c r="CB180" s="175"/>
      <c r="CC180" s="175"/>
      <c r="CD180" s="175"/>
      <c r="CE180" s="175"/>
      <c r="CF180" s="175"/>
      <c r="CG180" s="175"/>
      <c r="CH180" s="175"/>
      <c r="CI180" s="175"/>
      <c r="CJ180" s="175"/>
      <c r="CK180" s="175"/>
      <c r="CL180" s="175"/>
      <c r="CM180" s="175"/>
      <c r="CN180" s="175"/>
      <c r="CO180" s="175"/>
      <c r="CP180" s="175"/>
      <c r="CQ180" s="175"/>
      <c r="CR180" s="175"/>
      <c r="CS180" s="176"/>
    </row>
    <row r="181" spans="2:97" s="40" customFormat="1" ht="41.25" customHeight="1">
      <c r="B181" s="13" t="s">
        <v>789</v>
      </c>
      <c r="C181" s="3"/>
      <c r="D181" s="23">
        <f t="shared" si="31"/>
        <v>364.95599999999996</v>
      </c>
      <c r="E181" s="23">
        <f t="shared" si="31"/>
        <v>374.13699999999994</v>
      </c>
      <c r="F181" s="34"/>
      <c r="G181" s="34"/>
      <c r="H181" s="34"/>
      <c r="I181" s="23"/>
      <c r="J181" s="167">
        <f>308.143</f>
        <v>308.143</v>
      </c>
      <c r="K181" s="167">
        <f>308.143</f>
        <v>308.143</v>
      </c>
      <c r="L181" s="110">
        <v>56.813</v>
      </c>
      <c r="M181" s="110">
        <f>54.267+11.727</f>
        <v>65.994</v>
      </c>
      <c r="N181" s="23">
        <f>E181</f>
        <v>374.13699999999994</v>
      </c>
      <c r="O181" s="23"/>
      <c r="P181" s="165"/>
      <c r="Q181" s="165"/>
      <c r="R181" s="165"/>
      <c r="S181" s="172">
        <f>D181-E181</f>
        <v>-9.180999999999983</v>
      </c>
      <c r="T181" s="165"/>
      <c r="U181" s="3"/>
      <c r="W181" s="177" t="s">
        <v>719</v>
      </c>
      <c r="X181" s="175"/>
      <c r="Y181" s="175"/>
      <c r="Z181" s="175"/>
      <c r="AA181" s="175"/>
      <c r="AB181" s="175"/>
      <c r="AC181" s="175"/>
      <c r="AD181" s="175"/>
      <c r="AE181" s="175"/>
      <c r="AF181" s="175"/>
      <c r="AG181" s="175"/>
      <c r="AH181" s="175"/>
      <c r="AI181" s="175"/>
      <c r="AJ181" s="175"/>
      <c r="AK181" s="175"/>
      <c r="AL181" s="175"/>
      <c r="AM181" s="175"/>
      <c r="AN181" s="175"/>
      <c r="AO181" s="175"/>
      <c r="AP181" s="175"/>
      <c r="AQ181" s="175"/>
      <c r="AR181" s="175"/>
      <c r="AS181" s="175"/>
      <c r="AT181" s="175"/>
      <c r="AU181" s="175"/>
      <c r="AV181" s="175"/>
      <c r="AW181" s="175"/>
      <c r="AX181" s="175"/>
      <c r="AY181" s="175"/>
      <c r="AZ181" s="175"/>
      <c r="BA181" s="175"/>
      <c r="BB181" s="175"/>
      <c r="BC181" s="175"/>
      <c r="BD181" s="175"/>
      <c r="BE181" s="175"/>
      <c r="BF181" s="175"/>
      <c r="BG181" s="175"/>
      <c r="BH181" s="175"/>
      <c r="BI181" s="175"/>
      <c r="BJ181" s="175"/>
      <c r="BK181" s="175"/>
      <c r="BL181" s="175"/>
      <c r="BM181" s="175"/>
      <c r="BN181" s="175"/>
      <c r="BO181" s="175"/>
      <c r="BP181" s="175"/>
      <c r="BQ181" s="175"/>
      <c r="BR181" s="175"/>
      <c r="BS181" s="175"/>
      <c r="BT181" s="175"/>
      <c r="BU181" s="175"/>
      <c r="BV181" s="175"/>
      <c r="BW181" s="175"/>
      <c r="BX181" s="175"/>
      <c r="BY181" s="175"/>
      <c r="BZ181" s="175"/>
      <c r="CA181" s="175"/>
      <c r="CB181" s="175"/>
      <c r="CC181" s="175"/>
      <c r="CD181" s="175"/>
      <c r="CE181" s="175"/>
      <c r="CF181" s="175"/>
      <c r="CG181" s="175"/>
      <c r="CH181" s="175"/>
      <c r="CI181" s="175"/>
      <c r="CJ181" s="175"/>
      <c r="CK181" s="175"/>
      <c r="CL181" s="175"/>
      <c r="CM181" s="175"/>
      <c r="CN181" s="175"/>
      <c r="CO181" s="175"/>
      <c r="CP181" s="175"/>
      <c r="CQ181" s="175"/>
      <c r="CR181" s="175"/>
      <c r="CS181" s="176"/>
    </row>
    <row r="182" spans="2:97" s="40" customFormat="1" ht="41.25" customHeight="1">
      <c r="B182" s="154" t="s">
        <v>790</v>
      </c>
      <c r="C182" s="3"/>
      <c r="D182" s="23">
        <f t="shared" si="31"/>
        <v>216</v>
      </c>
      <c r="E182" s="23">
        <f t="shared" si="31"/>
        <v>218.721</v>
      </c>
      <c r="F182" s="34"/>
      <c r="G182" s="34"/>
      <c r="H182" s="34"/>
      <c r="I182" s="23"/>
      <c r="J182" s="167"/>
      <c r="K182" s="167"/>
      <c r="L182" s="110">
        <v>216</v>
      </c>
      <c r="M182" s="110">
        <f>177.685+41.036</f>
        <v>218.721</v>
      </c>
      <c r="N182" s="23">
        <f>E182</f>
        <v>218.721</v>
      </c>
      <c r="O182" s="23"/>
      <c r="P182" s="165"/>
      <c r="Q182" s="165"/>
      <c r="R182" s="165"/>
      <c r="S182" s="172"/>
      <c r="T182" s="165"/>
      <c r="U182" s="3"/>
      <c r="W182" s="177"/>
      <c r="X182" s="175"/>
      <c r="Y182" s="175"/>
      <c r="Z182" s="175"/>
      <c r="AA182" s="175"/>
      <c r="AB182" s="175"/>
      <c r="AC182" s="175"/>
      <c r="AD182" s="175"/>
      <c r="AE182" s="175"/>
      <c r="AF182" s="175"/>
      <c r="AG182" s="175"/>
      <c r="AH182" s="175"/>
      <c r="AI182" s="175"/>
      <c r="AJ182" s="175"/>
      <c r="AK182" s="175"/>
      <c r="AL182" s="175"/>
      <c r="AM182" s="175"/>
      <c r="AN182" s="175"/>
      <c r="AO182" s="175"/>
      <c r="AP182" s="175"/>
      <c r="AQ182" s="175"/>
      <c r="AR182" s="175"/>
      <c r="AS182" s="175"/>
      <c r="AT182" s="175"/>
      <c r="AU182" s="175"/>
      <c r="AV182" s="175"/>
      <c r="AW182" s="175"/>
      <c r="AX182" s="175"/>
      <c r="AY182" s="175"/>
      <c r="AZ182" s="175"/>
      <c r="BA182" s="175"/>
      <c r="BB182" s="175"/>
      <c r="BC182" s="175"/>
      <c r="BD182" s="175"/>
      <c r="BE182" s="175"/>
      <c r="BF182" s="175"/>
      <c r="BG182" s="175"/>
      <c r="BH182" s="175"/>
      <c r="BI182" s="175"/>
      <c r="BJ182" s="175"/>
      <c r="BK182" s="175"/>
      <c r="BL182" s="175"/>
      <c r="BM182" s="175"/>
      <c r="BN182" s="175"/>
      <c r="BO182" s="175"/>
      <c r="BP182" s="175"/>
      <c r="BQ182" s="175"/>
      <c r="BR182" s="175"/>
      <c r="BS182" s="175"/>
      <c r="BT182" s="175"/>
      <c r="BU182" s="175"/>
      <c r="BV182" s="175"/>
      <c r="BW182" s="175"/>
      <c r="BX182" s="175"/>
      <c r="BY182" s="175"/>
      <c r="BZ182" s="175"/>
      <c r="CA182" s="175"/>
      <c r="CB182" s="175"/>
      <c r="CC182" s="175"/>
      <c r="CD182" s="175"/>
      <c r="CE182" s="175"/>
      <c r="CF182" s="175"/>
      <c r="CG182" s="175"/>
      <c r="CH182" s="175"/>
      <c r="CI182" s="175"/>
      <c r="CJ182" s="175"/>
      <c r="CK182" s="175"/>
      <c r="CL182" s="175"/>
      <c r="CM182" s="175"/>
      <c r="CN182" s="175"/>
      <c r="CO182" s="175"/>
      <c r="CP182" s="175"/>
      <c r="CQ182" s="175"/>
      <c r="CR182" s="175"/>
      <c r="CS182" s="176"/>
    </row>
    <row r="183" spans="2:97" s="40" customFormat="1" ht="23.25" customHeight="1">
      <c r="B183" s="40" t="s">
        <v>791</v>
      </c>
      <c r="C183" s="3"/>
      <c r="D183" s="23"/>
      <c r="E183" s="34"/>
      <c r="F183" s="34"/>
      <c r="G183" s="34"/>
      <c r="H183" s="34"/>
      <c r="I183" s="23"/>
      <c r="J183" s="68"/>
      <c r="K183" s="68"/>
      <c r="L183" s="110"/>
      <c r="M183" s="110"/>
      <c r="N183" s="8"/>
      <c r="O183" s="23"/>
      <c r="P183" s="165"/>
      <c r="Q183" s="165"/>
      <c r="R183" s="165"/>
      <c r="S183" s="153"/>
      <c r="T183" s="165"/>
      <c r="U183" s="3"/>
      <c r="W183" s="13"/>
      <c r="X183" s="175"/>
      <c r="Y183" s="175"/>
      <c r="Z183" s="175"/>
      <c r="AA183" s="175"/>
      <c r="AB183" s="175"/>
      <c r="AC183" s="175"/>
      <c r="AD183" s="175"/>
      <c r="AE183" s="175"/>
      <c r="AF183" s="175"/>
      <c r="AG183" s="175"/>
      <c r="AH183" s="175"/>
      <c r="AI183" s="175"/>
      <c r="AJ183" s="175"/>
      <c r="AK183" s="175"/>
      <c r="AL183" s="175"/>
      <c r="AM183" s="175"/>
      <c r="AN183" s="175"/>
      <c r="AO183" s="175"/>
      <c r="AP183" s="175"/>
      <c r="AQ183" s="175"/>
      <c r="AR183" s="175"/>
      <c r="AS183" s="175"/>
      <c r="AT183" s="175"/>
      <c r="AU183" s="175"/>
      <c r="AV183" s="175"/>
      <c r="AW183" s="175"/>
      <c r="AX183" s="175"/>
      <c r="AY183" s="175"/>
      <c r="AZ183" s="175"/>
      <c r="BA183" s="175"/>
      <c r="BB183" s="175"/>
      <c r="BC183" s="175"/>
      <c r="BD183" s="175"/>
      <c r="BE183" s="175"/>
      <c r="BF183" s="175"/>
      <c r="BG183" s="175"/>
      <c r="BH183" s="175"/>
      <c r="BI183" s="175"/>
      <c r="BJ183" s="175"/>
      <c r="BK183" s="175"/>
      <c r="BL183" s="175"/>
      <c r="BM183" s="175"/>
      <c r="BN183" s="175"/>
      <c r="BO183" s="175"/>
      <c r="BP183" s="175"/>
      <c r="BQ183" s="175"/>
      <c r="BR183" s="175"/>
      <c r="BS183" s="175"/>
      <c r="BT183" s="175"/>
      <c r="BU183" s="175"/>
      <c r="BV183" s="175"/>
      <c r="BW183" s="175"/>
      <c r="BX183" s="175"/>
      <c r="BY183" s="175"/>
      <c r="BZ183" s="175"/>
      <c r="CA183" s="175"/>
      <c r="CB183" s="175"/>
      <c r="CC183" s="175"/>
      <c r="CD183" s="175"/>
      <c r="CE183" s="175"/>
      <c r="CF183" s="175"/>
      <c r="CG183" s="175"/>
      <c r="CH183" s="175"/>
      <c r="CI183" s="175"/>
      <c r="CJ183" s="175"/>
      <c r="CK183" s="175"/>
      <c r="CL183" s="175"/>
      <c r="CM183" s="175"/>
      <c r="CN183" s="175"/>
      <c r="CO183" s="175"/>
      <c r="CP183" s="175"/>
      <c r="CQ183" s="175"/>
      <c r="CR183" s="175"/>
      <c r="CS183" s="176"/>
    </row>
    <row r="184" spans="2:97" s="40" customFormat="1" ht="43.5" customHeight="1">
      <c r="B184" s="13" t="s">
        <v>792</v>
      </c>
      <c r="C184" s="3"/>
      <c r="D184" s="23">
        <f>F184+H184+J184+L184</f>
        <v>325.148</v>
      </c>
      <c r="E184" s="23">
        <f>G184+I184+K184+M184</f>
        <v>325.244</v>
      </c>
      <c r="F184" s="34"/>
      <c r="G184" s="34"/>
      <c r="H184" s="34"/>
      <c r="I184" s="23"/>
      <c r="J184" s="167">
        <f>255.148</f>
        <v>255.148</v>
      </c>
      <c r="K184" s="167">
        <f>255.148</f>
        <v>255.148</v>
      </c>
      <c r="L184" s="110">
        <v>70</v>
      </c>
      <c r="M184" s="110">
        <v>70.096</v>
      </c>
      <c r="N184" s="23">
        <f>E184</f>
        <v>325.244</v>
      </c>
      <c r="O184" s="23"/>
      <c r="P184" s="165"/>
      <c r="Q184" s="165"/>
      <c r="R184" s="165"/>
      <c r="S184" s="172">
        <f>D184-E184</f>
        <v>-0.09600000000000364</v>
      </c>
      <c r="T184" s="165"/>
      <c r="U184" s="3"/>
      <c r="W184" s="177"/>
      <c r="X184" s="175"/>
      <c r="Y184" s="175"/>
      <c r="Z184" s="175"/>
      <c r="AA184" s="175"/>
      <c r="AB184" s="175"/>
      <c r="AC184" s="175"/>
      <c r="AD184" s="175"/>
      <c r="AE184" s="175"/>
      <c r="AF184" s="175"/>
      <c r="AG184" s="175"/>
      <c r="AH184" s="175"/>
      <c r="AI184" s="175"/>
      <c r="AJ184" s="175"/>
      <c r="AK184" s="175"/>
      <c r="AL184" s="175"/>
      <c r="AM184" s="175"/>
      <c r="AN184" s="175"/>
      <c r="AO184" s="175"/>
      <c r="AP184" s="175"/>
      <c r="AQ184" s="175"/>
      <c r="AR184" s="175"/>
      <c r="AS184" s="175"/>
      <c r="AT184" s="175"/>
      <c r="AU184" s="175"/>
      <c r="AV184" s="175"/>
      <c r="AW184" s="175"/>
      <c r="AX184" s="175"/>
      <c r="AY184" s="175"/>
      <c r="AZ184" s="175"/>
      <c r="BA184" s="175"/>
      <c r="BB184" s="175"/>
      <c r="BC184" s="175"/>
      <c r="BD184" s="175"/>
      <c r="BE184" s="175"/>
      <c r="BF184" s="175"/>
      <c r="BG184" s="175"/>
      <c r="BH184" s="175"/>
      <c r="BI184" s="175"/>
      <c r="BJ184" s="175"/>
      <c r="BK184" s="175"/>
      <c r="BL184" s="175"/>
      <c r="BM184" s="175"/>
      <c r="BN184" s="175"/>
      <c r="BO184" s="175"/>
      <c r="BP184" s="175"/>
      <c r="BQ184" s="175"/>
      <c r="BR184" s="175"/>
      <c r="BS184" s="175"/>
      <c r="BT184" s="175"/>
      <c r="BU184" s="175"/>
      <c r="BV184" s="175"/>
      <c r="BW184" s="175"/>
      <c r="BX184" s="175"/>
      <c r="BY184" s="175"/>
      <c r="BZ184" s="175"/>
      <c r="CA184" s="175"/>
      <c r="CB184" s="175"/>
      <c r="CC184" s="175"/>
      <c r="CD184" s="175"/>
      <c r="CE184" s="175"/>
      <c r="CF184" s="175"/>
      <c r="CG184" s="175"/>
      <c r="CH184" s="175"/>
      <c r="CI184" s="175"/>
      <c r="CJ184" s="175"/>
      <c r="CK184" s="175"/>
      <c r="CL184" s="175"/>
      <c r="CM184" s="175"/>
      <c r="CN184" s="175"/>
      <c r="CO184" s="175"/>
      <c r="CP184" s="175"/>
      <c r="CQ184" s="175"/>
      <c r="CR184" s="175"/>
      <c r="CS184" s="176"/>
    </row>
    <row r="185" spans="2:97" s="40" customFormat="1" ht="33" customHeight="1">
      <c r="B185" s="40" t="s">
        <v>162</v>
      </c>
      <c r="C185" s="3"/>
      <c r="D185" s="24">
        <f>F185+H185+J185+L185</f>
        <v>2405.799</v>
      </c>
      <c r="E185" s="24">
        <f>G185+I185+K185+M185</f>
        <v>2472.0119999999997</v>
      </c>
      <c r="F185" s="24">
        <f aca="true" t="shared" si="32" ref="F185:K185">F187+F188+F190+F192+F193+F194+F197</f>
        <v>353.999</v>
      </c>
      <c r="G185" s="24">
        <f t="shared" si="32"/>
        <v>353.999</v>
      </c>
      <c r="H185" s="24">
        <f t="shared" si="32"/>
        <v>716.344</v>
      </c>
      <c r="I185" s="24">
        <f t="shared" si="32"/>
        <v>716.344</v>
      </c>
      <c r="J185" s="24">
        <f t="shared" si="32"/>
        <v>818.8119999999999</v>
      </c>
      <c r="K185" s="24">
        <f t="shared" si="32"/>
        <v>818.8119999999999</v>
      </c>
      <c r="L185" s="3">
        <f>L187+L188+L190+L192+L193+L194+L197+L195</f>
        <v>516.644</v>
      </c>
      <c r="M185" s="3">
        <f>M187+M188+M190+M192+M193+M194+M197+M195</f>
        <v>582.857</v>
      </c>
      <c r="N185" s="3">
        <f>N187+N188+N190+N192+N193+N194+N197+N195</f>
        <v>2472.0119999999997</v>
      </c>
      <c r="O185" s="3"/>
      <c r="P185" s="3"/>
      <c r="Q185" s="3"/>
      <c r="R185" s="3"/>
      <c r="S185" s="24">
        <f>S187+S188+S190+S192+S193+S194+S197</f>
        <v>1.7769999999999868</v>
      </c>
      <c r="T185" s="165"/>
      <c r="X185" s="175"/>
      <c r="Y185" s="175"/>
      <c r="Z185" s="175"/>
      <c r="AA185" s="175"/>
      <c r="AB185" s="175"/>
      <c r="AC185" s="175"/>
      <c r="AD185" s="175"/>
      <c r="AE185" s="175"/>
      <c r="AF185" s="175"/>
      <c r="AG185" s="175"/>
      <c r="AH185" s="175"/>
      <c r="AI185" s="175"/>
      <c r="AJ185" s="175"/>
      <c r="AK185" s="175"/>
      <c r="AL185" s="175"/>
      <c r="AM185" s="175"/>
      <c r="AN185" s="175"/>
      <c r="AO185" s="175"/>
      <c r="AP185" s="175"/>
      <c r="AQ185" s="175"/>
      <c r="AR185" s="175"/>
      <c r="AS185" s="175"/>
      <c r="AT185" s="175"/>
      <c r="AU185" s="175"/>
      <c r="AV185" s="175"/>
      <c r="AW185" s="175"/>
      <c r="AX185" s="175"/>
      <c r="AY185" s="175"/>
      <c r="AZ185" s="175"/>
      <c r="BA185" s="175"/>
      <c r="BB185" s="175"/>
      <c r="BC185" s="175"/>
      <c r="BD185" s="175"/>
      <c r="BE185" s="175"/>
      <c r="BF185" s="175"/>
      <c r="BG185" s="175"/>
      <c r="BH185" s="175"/>
      <c r="BI185" s="175"/>
      <c r="BJ185" s="175"/>
      <c r="BK185" s="175"/>
      <c r="BL185" s="175"/>
      <c r="BM185" s="175"/>
      <c r="BN185" s="175"/>
      <c r="BO185" s="175"/>
      <c r="BP185" s="175"/>
      <c r="BQ185" s="175"/>
      <c r="BR185" s="175"/>
      <c r="BS185" s="175"/>
      <c r="BT185" s="175"/>
      <c r="BU185" s="175"/>
      <c r="BV185" s="175"/>
      <c r="BW185" s="175"/>
      <c r="BX185" s="175"/>
      <c r="BY185" s="175"/>
      <c r="BZ185" s="175"/>
      <c r="CA185" s="175"/>
      <c r="CB185" s="175"/>
      <c r="CC185" s="175"/>
      <c r="CD185" s="175"/>
      <c r="CE185" s="175"/>
      <c r="CF185" s="175"/>
      <c r="CG185" s="175"/>
      <c r="CH185" s="175"/>
      <c r="CI185" s="175"/>
      <c r="CJ185" s="175"/>
      <c r="CK185" s="175"/>
      <c r="CL185" s="175"/>
      <c r="CM185" s="175"/>
      <c r="CN185" s="175"/>
      <c r="CO185" s="175"/>
      <c r="CP185" s="175"/>
      <c r="CQ185" s="175"/>
      <c r="CR185" s="175"/>
      <c r="CS185" s="176"/>
    </row>
    <row r="186" spans="2:97" s="40" customFormat="1" ht="18.75" customHeight="1">
      <c r="B186" s="40" t="s">
        <v>793</v>
      </c>
      <c r="C186" s="3"/>
      <c r="D186" s="8"/>
      <c r="E186" s="23"/>
      <c r="F186" s="8"/>
      <c r="G186" s="23"/>
      <c r="H186" s="34"/>
      <c r="I186" s="8"/>
      <c r="J186" s="8"/>
      <c r="K186" s="8"/>
      <c r="L186" s="8"/>
      <c r="M186" s="141"/>
      <c r="N186" s="23"/>
      <c r="O186" s="23"/>
      <c r="P186" s="165"/>
      <c r="Q186" s="165"/>
      <c r="R186" s="165"/>
      <c r="S186" s="152"/>
      <c r="T186" s="165"/>
      <c r="W186" s="177"/>
      <c r="X186" s="175"/>
      <c r="Y186" s="175"/>
      <c r="Z186" s="175"/>
      <c r="AA186" s="175"/>
      <c r="AB186" s="175"/>
      <c r="AC186" s="175"/>
      <c r="AD186" s="175"/>
      <c r="AE186" s="175"/>
      <c r="AF186" s="175"/>
      <c r="AG186" s="175"/>
      <c r="AH186" s="175"/>
      <c r="AI186" s="175"/>
      <c r="AJ186" s="175"/>
      <c r="AK186" s="175"/>
      <c r="AL186" s="175"/>
      <c r="AM186" s="175"/>
      <c r="AN186" s="175"/>
      <c r="AO186" s="175"/>
      <c r="AP186" s="175"/>
      <c r="AQ186" s="175"/>
      <c r="AR186" s="175"/>
      <c r="AS186" s="175"/>
      <c r="AT186" s="175"/>
      <c r="AU186" s="175"/>
      <c r="AV186" s="175"/>
      <c r="AW186" s="175"/>
      <c r="AX186" s="175"/>
      <c r="AY186" s="175"/>
      <c r="AZ186" s="175"/>
      <c r="BA186" s="175"/>
      <c r="BB186" s="175"/>
      <c r="BC186" s="175"/>
      <c r="BD186" s="175"/>
      <c r="BE186" s="175"/>
      <c r="BF186" s="175"/>
      <c r="BG186" s="175"/>
      <c r="BH186" s="175"/>
      <c r="BI186" s="175"/>
      <c r="BJ186" s="175"/>
      <c r="BK186" s="175"/>
      <c r="BL186" s="175"/>
      <c r="BM186" s="175"/>
      <c r="BN186" s="175"/>
      <c r="BO186" s="175"/>
      <c r="BP186" s="175"/>
      <c r="BQ186" s="175"/>
      <c r="BR186" s="175"/>
      <c r="BS186" s="175"/>
      <c r="BT186" s="175"/>
      <c r="BU186" s="175"/>
      <c r="BV186" s="175"/>
      <c r="BW186" s="175"/>
      <c r="BX186" s="175"/>
      <c r="BY186" s="175"/>
      <c r="BZ186" s="175"/>
      <c r="CA186" s="175"/>
      <c r="CB186" s="175"/>
      <c r="CC186" s="175"/>
      <c r="CD186" s="175"/>
      <c r="CE186" s="175"/>
      <c r="CF186" s="175"/>
      <c r="CG186" s="175"/>
      <c r="CH186" s="175"/>
      <c r="CI186" s="175"/>
      <c r="CJ186" s="175"/>
      <c r="CK186" s="175"/>
      <c r="CL186" s="175"/>
      <c r="CM186" s="175"/>
      <c r="CN186" s="175"/>
      <c r="CO186" s="175"/>
      <c r="CP186" s="175"/>
      <c r="CQ186" s="175"/>
      <c r="CR186" s="175"/>
      <c r="CS186" s="176"/>
    </row>
    <row r="187" spans="2:97" s="40" customFormat="1" ht="43.5" customHeight="1">
      <c r="B187" s="13" t="s">
        <v>794</v>
      </c>
      <c r="C187" s="3"/>
      <c r="D187" s="23">
        <f>F187+H187+J187+L187</f>
        <v>353.999</v>
      </c>
      <c r="E187" s="23">
        <f>G187+I187+K187+M187</f>
        <v>353.999</v>
      </c>
      <c r="F187" s="23">
        <f>202.039+151.96</f>
        <v>353.999</v>
      </c>
      <c r="G187" s="23">
        <f>202.039+151.96</f>
        <v>353.999</v>
      </c>
      <c r="H187" s="23"/>
      <c r="I187" s="23"/>
      <c r="J187" s="23"/>
      <c r="K187" s="23"/>
      <c r="L187" s="23"/>
      <c r="M187" s="204"/>
      <c r="N187" s="23">
        <f>D187</f>
        <v>353.999</v>
      </c>
      <c r="O187" s="23"/>
      <c r="P187" s="152"/>
      <c r="Q187" s="152"/>
      <c r="R187" s="165"/>
      <c r="S187" s="205">
        <f>D187-E187</f>
        <v>0</v>
      </c>
      <c r="T187" s="165"/>
      <c r="W187" s="177"/>
      <c r="X187" s="175"/>
      <c r="Y187" s="175"/>
      <c r="Z187" s="175"/>
      <c r="AA187" s="175"/>
      <c r="AB187" s="175"/>
      <c r="AC187" s="175"/>
      <c r="AD187" s="175"/>
      <c r="AE187" s="175"/>
      <c r="AF187" s="175"/>
      <c r="AG187" s="175"/>
      <c r="AH187" s="175"/>
      <c r="AI187" s="175"/>
      <c r="AJ187" s="175"/>
      <c r="AK187" s="175"/>
      <c r="AL187" s="175"/>
      <c r="AM187" s="175"/>
      <c r="AN187" s="175"/>
      <c r="AO187" s="175"/>
      <c r="AP187" s="175"/>
      <c r="AQ187" s="175"/>
      <c r="AR187" s="175"/>
      <c r="AS187" s="175"/>
      <c r="AT187" s="175"/>
      <c r="AU187" s="175"/>
      <c r="AV187" s="175"/>
      <c r="AW187" s="175"/>
      <c r="AX187" s="175"/>
      <c r="AY187" s="175"/>
      <c r="AZ187" s="175"/>
      <c r="BA187" s="175"/>
      <c r="BB187" s="175"/>
      <c r="BC187" s="175"/>
      <c r="BD187" s="175"/>
      <c r="BE187" s="175"/>
      <c r="BF187" s="175"/>
      <c r="BG187" s="175"/>
      <c r="BH187" s="175"/>
      <c r="BI187" s="175"/>
      <c r="BJ187" s="175"/>
      <c r="BK187" s="175"/>
      <c r="BL187" s="175"/>
      <c r="BM187" s="175"/>
      <c r="BN187" s="175"/>
      <c r="BO187" s="175"/>
      <c r="BP187" s="175"/>
      <c r="BQ187" s="175"/>
      <c r="BR187" s="175"/>
      <c r="BS187" s="175"/>
      <c r="BT187" s="175"/>
      <c r="BU187" s="175"/>
      <c r="BV187" s="175"/>
      <c r="BW187" s="175"/>
      <c r="BX187" s="175"/>
      <c r="BY187" s="175"/>
      <c r="BZ187" s="175"/>
      <c r="CA187" s="175"/>
      <c r="CB187" s="175"/>
      <c r="CC187" s="175"/>
      <c r="CD187" s="175"/>
      <c r="CE187" s="175"/>
      <c r="CF187" s="175"/>
      <c r="CG187" s="175"/>
      <c r="CH187" s="175"/>
      <c r="CI187" s="175"/>
      <c r="CJ187" s="175"/>
      <c r="CK187" s="175"/>
      <c r="CL187" s="175"/>
      <c r="CM187" s="175"/>
      <c r="CN187" s="175"/>
      <c r="CO187" s="175"/>
      <c r="CP187" s="175"/>
      <c r="CQ187" s="175"/>
      <c r="CR187" s="175"/>
      <c r="CS187" s="176"/>
    </row>
    <row r="188" spans="2:97" s="40" customFormat="1" ht="44.25" customHeight="1">
      <c r="B188" s="13" t="s">
        <v>795</v>
      </c>
      <c r="D188" s="23">
        <f>F188+H188+J188+L188</f>
        <v>478.39</v>
      </c>
      <c r="E188" s="23">
        <f>G188+I188+K188+M188</f>
        <v>478.394</v>
      </c>
      <c r="F188" s="23"/>
      <c r="G188" s="23"/>
      <c r="H188" s="23"/>
      <c r="I188" s="23"/>
      <c r="J188" s="23">
        <f>381.39</f>
        <v>381.39</v>
      </c>
      <c r="K188" s="23">
        <f>381.39</f>
        <v>381.39</v>
      </c>
      <c r="L188" s="23">
        <v>97</v>
      </c>
      <c r="M188" s="204">
        <v>97.004</v>
      </c>
      <c r="N188" s="23">
        <f>E188</f>
        <v>478.394</v>
      </c>
      <c r="O188" s="23"/>
      <c r="P188" s="152"/>
      <c r="Q188" s="152"/>
      <c r="R188" s="165"/>
      <c r="S188" s="205">
        <f>D188-E188</f>
        <v>-0.004000000000019099</v>
      </c>
      <c r="T188" s="165"/>
      <c r="W188" s="177"/>
      <c r="X188" s="175"/>
      <c r="Y188" s="175"/>
      <c r="Z188" s="175"/>
      <c r="AA188" s="175"/>
      <c r="AB188" s="175"/>
      <c r="AC188" s="175"/>
      <c r="AD188" s="175"/>
      <c r="AE188" s="175"/>
      <c r="AF188" s="175"/>
      <c r="AG188" s="175"/>
      <c r="AH188" s="175"/>
      <c r="AI188" s="175"/>
      <c r="AJ188" s="175"/>
      <c r="AK188" s="175"/>
      <c r="AL188" s="175"/>
      <c r="AM188" s="175"/>
      <c r="AN188" s="175"/>
      <c r="AO188" s="175"/>
      <c r="AP188" s="175"/>
      <c r="AQ188" s="175"/>
      <c r="AR188" s="175"/>
      <c r="AS188" s="175"/>
      <c r="AT188" s="175"/>
      <c r="AU188" s="175"/>
      <c r="AV188" s="175"/>
      <c r="AW188" s="175"/>
      <c r="AX188" s="175"/>
      <c r="AY188" s="175"/>
      <c r="AZ188" s="175"/>
      <c r="BA188" s="175"/>
      <c r="BB188" s="175"/>
      <c r="BC188" s="175"/>
      <c r="BD188" s="175"/>
      <c r="BE188" s="175"/>
      <c r="BF188" s="175"/>
      <c r="BG188" s="175"/>
      <c r="BH188" s="175"/>
      <c r="BI188" s="175"/>
      <c r="BJ188" s="175"/>
      <c r="BK188" s="175"/>
      <c r="BL188" s="175"/>
      <c r="BM188" s="175"/>
      <c r="BN188" s="175"/>
      <c r="BO188" s="175"/>
      <c r="BP188" s="175"/>
      <c r="BQ188" s="175"/>
      <c r="BR188" s="175"/>
      <c r="BS188" s="175"/>
      <c r="BT188" s="175"/>
      <c r="BU188" s="175"/>
      <c r="BV188" s="175"/>
      <c r="BW188" s="175"/>
      <c r="BX188" s="175"/>
      <c r="BY188" s="175"/>
      <c r="BZ188" s="175"/>
      <c r="CA188" s="175"/>
      <c r="CB188" s="175"/>
      <c r="CC188" s="175"/>
      <c r="CD188" s="175"/>
      <c r="CE188" s="175"/>
      <c r="CF188" s="175"/>
      <c r="CG188" s="175"/>
      <c r="CH188" s="175"/>
      <c r="CI188" s="175"/>
      <c r="CJ188" s="175"/>
      <c r="CK188" s="175"/>
      <c r="CL188" s="175"/>
      <c r="CM188" s="175"/>
      <c r="CN188" s="175"/>
      <c r="CO188" s="175"/>
      <c r="CP188" s="175"/>
      <c r="CQ188" s="175"/>
      <c r="CR188" s="175"/>
      <c r="CS188" s="176"/>
    </row>
    <row r="189" spans="2:97" s="40" customFormat="1" ht="21.75" customHeight="1">
      <c r="B189" s="40" t="s">
        <v>796</v>
      </c>
      <c r="C189" s="3"/>
      <c r="D189" s="23"/>
      <c r="E189" s="23"/>
      <c r="F189" s="23"/>
      <c r="G189" s="23"/>
      <c r="H189" s="23"/>
      <c r="I189" s="23"/>
      <c r="J189" s="23"/>
      <c r="K189" s="23"/>
      <c r="L189" s="23"/>
      <c r="M189" s="204"/>
      <c r="N189" s="23"/>
      <c r="O189" s="23"/>
      <c r="P189" s="152"/>
      <c r="Q189" s="152"/>
      <c r="R189" s="165"/>
      <c r="S189" s="205"/>
      <c r="T189" s="165"/>
      <c r="W189" s="177"/>
      <c r="X189" s="175"/>
      <c r="Y189" s="175"/>
      <c r="Z189" s="175"/>
      <c r="AA189" s="175"/>
      <c r="AB189" s="175"/>
      <c r="AC189" s="175"/>
      <c r="AD189" s="175"/>
      <c r="AE189" s="175"/>
      <c r="AF189" s="175"/>
      <c r="AG189" s="175"/>
      <c r="AH189" s="175"/>
      <c r="AI189" s="175"/>
      <c r="AJ189" s="175"/>
      <c r="AK189" s="175"/>
      <c r="AL189" s="175"/>
      <c r="AM189" s="175"/>
      <c r="AN189" s="175"/>
      <c r="AO189" s="175"/>
      <c r="AP189" s="175"/>
      <c r="AQ189" s="175"/>
      <c r="AR189" s="175"/>
      <c r="AS189" s="175"/>
      <c r="AT189" s="175"/>
      <c r="AU189" s="175"/>
      <c r="AV189" s="175"/>
      <c r="AW189" s="175"/>
      <c r="AX189" s="175"/>
      <c r="AY189" s="175"/>
      <c r="AZ189" s="175"/>
      <c r="BA189" s="175"/>
      <c r="BB189" s="175"/>
      <c r="BC189" s="175"/>
      <c r="BD189" s="175"/>
      <c r="BE189" s="175"/>
      <c r="BF189" s="175"/>
      <c r="BG189" s="175"/>
      <c r="BH189" s="175"/>
      <c r="BI189" s="175"/>
      <c r="BJ189" s="175"/>
      <c r="BK189" s="175"/>
      <c r="BL189" s="175"/>
      <c r="BM189" s="175"/>
      <c r="BN189" s="175"/>
      <c r="BO189" s="175"/>
      <c r="BP189" s="175"/>
      <c r="BQ189" s="175"/>
      <c r="BR189" s="175"/>
      <c r="BS189" s="175"/>
      <c r="BT189" s="175"/>
      <c r="BU189" s="175"/>
      <c r="BV189" s="175"/>
      <c r="BW189" s="175"/>
      <c r="BX189" s="175"/>
      <c r="BY189" s="175"/>
      <c r="BZ189" s="175"/>
      <c r="CA189" s="175"/>
      <c r="CB189" s="175"/>
      <c r="CC189" s="175"/>
      <c r="CD189" s="175"/>
      <c r="CE189" s="175"/>
      <c r="CF189" s="175"/>
      <c r="CG189" s="175"/>
      <c r="CH189" s="175"/>
      <c r="CI189" s="175"/>
      <c r="CJ189" s="175"/>
      <c r="CK189" s="175"/>
      <c r="CL189" s="175"/>
      <c r="CM189" s="175"/>
      <c r="CN189" s="175"/>
      <c r="CO189" s="175"/>
      <c r="CP189" s="175"/>
      <c r="CQ189" s="175"/>
      <c r="CR189" s="175"/>
      <c r="CS189" s="176"/>
    </row>
    <row r="190" spans="2:97" s="40" customFormat="1" ht="45.75" customHeight="1">
      <c r="B190" s="13" t="s">
        <v>797</v>
      </c>
      <c r="C190" s="3"/>
      <c r="D190" s="23">
        <f>F190+H190+J190+L190</f>
        <v>228.06300000000002</v>
      </c>
      <c r="E190" s="23">
        <f>G190+I190+K190+M190</f>
        <v>228.06300000000002</v>
      </c>
      <c r="F190" s="23"/>
      <c r="G190" s="23"/>
      <c r="H190" s="23">
        <f>164.639+63.424</f>
        <v>228.06300000000002</v>
      </c>
      <c r="I190" s="23">
        <f>164.639+63.424</f>
        <v>228.06300000000002</v>
      </c>
      <c r="J190" s="23"/>
      <c r="K190" s="23"/>
      <c r="L190" s="23"/>
      <c r="M190" s="204"/>
      <c r="N190" s="23">
        <f>D190</f>
        <v>228.06300000000002</v>
      </c>
      <c r="O190" s="23"/>
      <c r="P190" s="152"/>
      <c r="Q190" s="152"/>
      <c r="R190" s="165"/>
      <c r="S190" s="205">
        <f>D190-E190</f>
        <v>0</v>
      </c>
      <c r="T190" s="165"/>
      <c r="W190" s="177"/>
      <c r="X190" s="175"/>
      <c r="Y190" s="175"/>
      <c r="Z190" s="175"/>
      <c r="AA190" s="175"/>
      <c r="AB190" s="175"/>
      <c r="AC190" s="175"/>
      <c r="AD190" s="175"/>
      <c r="AE190" s="175"/>
      <c r="AF190" s="175"/>
      <c r="AG190" s="175"/>
      <c r="AH190" s="175"/>
      <c r="AI190" s="175"/>
      <c r="AJ190" s="175"/>
      <c r="AK190" s="175"/>
      <c r="AL190" s="175"/>
      <c r="AM190" s="175"/>
      <c r="AN190" s="175"/>
      <c r="AO190" s="175"/>
      <c r="AP190" s="175"/>
      <c r="AQ190" s="175"/>
      <c r="AR190" s="175"/>
      <c r="AS190" s="175"/>
      <c r="AT190" s="175"/>
      <c r="AU190" s="175"/>
      <c r="AV190" s="175"/>
      <c r="AW190" s="175"/>
      <c r="AX190" s="175"/>
      <c r="AY190" s="175"/>
      <c r="AZ190" s="175"/>
      <c r="BA190" s="175"/>
      <c r="BB190" s="175"/>
      <c r="BC190" s="175"/>
      <c r="BD190" s="175"/>
      <c r="BE190" s="175"/>
      <c r="BF190" s="175"/>
      <c r="BG190" s="175"/>
      <c r="BH190" s="175"/>
      <c r="BI190" s="175"/>
      <c r="BJ190" s="175"/>
      <c r="BK190" s="175"/>
      <c r="BL190" s="175"/>
      <c r="BM190" s="175"/>
      <c r="BN190" s="175"/>
      <c r="BO190" s="175"/>
      <c r="BP190" s="175"/>
      <c r="BQ190" s="175"/>
      <c r="BR190" s="175"/>
      <c r="BS190" s="175"/>
      <c r="BT190" s="175"/>
      <c r="BU190" s="175"/>
      <c r="BV190" s="175"/>
      <c r="BW190" s="175"/>
      <c r="BX190" s="175"/>
      <c r="BY190" s="175"/>
      <c r="BZ190" s="175"/>
      <c r="CA190" s="175"/>
      <c r="CB190" s="175"/>
      <c r="CC190" s="175"/>
      <c r="CD190" s="175"/>
      <c r="CE190" s="175"/>
      <c r="CF190" s="175"/>
      <c r="CG190" s="175"/>
      <c r="CH190" s="175"/>
      <c r="CI190" s="175"/>
      <c r="CJ190" s="175"/>
      <c r="CK190" s="175"/>
      <c r="CL190" s="175"/>
      <c r="CM190" s="175"/>
      <c r="CN190" s="175"/>
      <c r="CO190" s="175"/>
      <c r="CP190" s="175"/>
      <c r="CQ190" s="175"/>
      <c r="CR190" s="175"/>
      <c r="CS190" s="176"/>
    </row>
    <row r="191" spans="2:97" s="40" customFormat="1" ht="21.75" customHeight="1">
      <c r="B191" s="40" t="s">
        <v>798</v>
      </c>
      <c r="C191" s="3"/>
      <c r="D191" s="23"/>
      <c r="E191" s="23"/>
      <c r="F191" s="23"/>
      <c r="G191" s="23"/>
      <c r="H191" s="23"/>
      <c r="I191" s="23"/>
      <c r="J191" s="23"/>
      <c r="K191" s="23"/>
      <c r="L191" s="23"/>
      <c r="M191" s="204"/>
      <c r="N191" s="23"/>
      <c r="O191" s="23"/>
      <c r="P191" s="152"/>
      <c r="Q191" s="152"/>
      <c r="R191" s="165"/>
      <c r="S191" s="205"/>
      <c r="T191" s="165"/>
      <c r="W191" s="177"/>
      <c r="X191" s="175"/>
      <c r="Y191" s="175"/>
      <c r="Z191" s="175"/>
      <c r="AA191" s="175"/>
      <c r="AB191" s="175"/>
      <c r="AC191" s="175"/>
      <c r="AD191" s="175"/>
      <c r="AE191" s="175"/>
      <c r="AF191" s="175"/>
      <c r="AG191" s="175"/>
      <c r="AH191" s="175"/>
      <c r="AI191" s="175"/>
      <c r="AJ191" s="175"/>
      <c r="AK191" s="175"/>
      <c r="AL191" s="175"/>
      <c r="AM191" s="175"/>
      <c r="AN191" s="175"/>
      <c r="AO191" s="175"/>
      <c r="AP191" s="175"/>
      <c r="AQ191" s="175"/>
      <c r="AR191" s="175"/>
      <c r="AS191" s="175"/>
      <c r="AT191" s="175"/>
      <c r="AU191" s="175"/>
      <c r="AV191" s="175"/>
      <c r="AW191" s="175"/>
      <c r="AX191" s="175"/>
      <c r="AY191" s="175"/>
      <c r="AZ191" s="175"/>
      <c r="BA191" s="175"/>
      <c r="BB191" s="175"/>
      <c r="BC191" s="175"/>
      <c r="BD191" s="175"/>
      <c r="BE191" s="175"/>
      <c r="BF191" s="175"/>
      <c r="BG191" s="175"/>
      <c r="BH191" s="175"/>
      <c r="BI191" s="175"/>
      <c r="BJ191" s="175"/>
      <c r="BK191" s="175"/>
      <c r="BL191" s="175"/>
      <c r="BM191" s="175"/>
      <c r="BN191" s="175"/>
      <c r="BO191" s="175"/>
      <c r="BP191" s="175"/>
      <c r="BQ191" s="175"/>
      <c r="BR191" s="175"/>
      <c r="BS191" s="175"/>
      <c r="BT191" s="175"/>
      <c r="BU191" s="175"/>
      <c r="BV191" s="175"/>
      <c r="BW191" s="175"/>
      <c r="BX191" s="175"/>
      <c r="BY191" s="175"/>
      <c r="BZ191" s="175"/>
      <c r="CA191" s="175"/>
      <c r="CB191" s="175"/>
      <c r="CC191" s="175"/>
      <c r="CD191" s="175"/>
      <c r="CE191" s="175"/>
      <c r="CF191" s="175"/>
      <c r="CG191" s="175"/>
      <c r="CH191" s="175"/>
      <c r="CI191" s="175"/>
      <c r="CJ191" s="175"/>
      <c r="CK191" s="175"/>
      <c r="CL191" s="175"/>
      <c r="CM191" s="175"/>
      <c r="CN191" s="175"/>
      <c r="CO191" s="175"/>
      <c r="CP191" s="175"/>
      <c r="CQ191" s="175"/>
      <c r="CR191" s="175"/>
      <c r="CS191" s="176"/>
    </row>
    <row r="192" spans="2:97" s="40" customFormat="1" ht="45.75" customHeight="1">
      <c r="B192" s="13" t="s">
        <v>799</v>
      </c>
      <c r="C192" s="3"/>
      <c r="D192" s="23">
        <f aca="true" t="shared" si="33" ref="D192:E195">F192+H192+J192+L192</f>
        <v>469.456</v>
      </c>
      <c r="E192" s="23">
        <f t="shared" si="33"/>
        <v>467.675</v>
      </c>
      <c r="F192" s="23"/>
      <c r="G192" s="23"/>
      <c r="H192" s="23">
        <v>249.903</v>
      </c>
      <c r="I192" s="23">
        <v>249.903</v>
      </c>
      <c r="J192" s="23">
        <f>139.909</f>
        <v>139.909</v>
      </c>
      <c r="K192" s="23">
        <f>139.909</f>
        <v>139.909</v>
      </c>
      <c r="L192" s="23">
        <v>79.644</v>
      </c>
      <c r="M192" s="204">
        <v>77.863</v>
      </c>
      <c r="N192" s="23">
        <f>E192</f>
        <v>467.675</v>
      </c>
      <c r="O192" s="23"/>
      <c r="P192" s="152"/>
      <c r="Q192" s="152"/>
      <c r="R192" s="165"/>
      <c r="S192" s="205">
        <f>D192-E192</f>
        <v>1.781000000000006</v>
      </c>
      <c r="T192" s="165"/>
      <c r="W192" s="177" t="s">
        <v>762</v>
      </c>
      <c r="X192" s="175"/>
      <c r="Y192" s="175"/>
      <c r="Z192" s="175"/>
      <c r="AA192" s="175"/>
      <c r="AB192" s="175"/>
      <c r="AC192" s="175"/>
      <c r="AD192" s="175"/>
      <c r="AE192" s="175"/>
      <c r="AF192" s="175"/>
      <c r="AG192" s="175"/>
      <c r="AH192" s="175"/>
      <c r="AI192" s="175"/>
      <c r="AJ192" s="175"/>
      <c r="AK192" s="175"/>
      <c r="AL192" s="175"/>
      <c r="AM192" s="175"/>
      <c r="AN192" s="175"/>
      <c r="AO192" s="175"/>
      <c r="AP192" s="175"/>
      <c r="AQ192" s="175"/>
      <c r="AR192" s="175"/>
      <c r="AS192" s="175"/>
      <c r="AT192" s="175"/>
      <c r="AU192" s="175"/>
      <c r="AV192" s="175"/>
      <c r="AW192" s="175"/>
      <c r="AX192" s="175"/>
      <c r="AY192" s="175"/>
      <c r="AZ192" s="175"/>
      <c r="BA192" s="175"/>
      <c r="BB192" s="175"/>
      <c r="BC192" s="175"/>
      <c r="BD192" s="175"/>
      <c r="BE192" s="175"/>
      <c r="BF192" s="175"/>
      <c r="BG192" s="175"/>
      <c r="BH192" s="175"/>
      <c r="BI192" s="175"/>
      <c r="BJ192" s="175"/>
      <c r="BK192" s="175"/>
      <c r="BL192" s="175"/>
      <c r="BM192" s="175"/>
      <c r="BN192" s="175"/>
      <c r="BO192" s="175"/>
      <c r="BP192" s="175"/>
      <c r="BQ192" s="175"/>
      <c r="BR192" s="175"/>
      <c r="BS192" s="175"/>
      <c r="BT192" s="175"/>
      <c r="BU192" s="175"/>
      <c r="BV192" s="175"/>
      <c r="BW192" s="175"/>
      <c r="BX192" s="175"/>
      <c r="BY192" s="175"/>
      <c r="BZ192" s="175"/>
      <c r="CA192" s="175"/>
      <c r="CB192" s="175"/>
      <c r="CC192" s="175"/>
      <c r="CD192" s="175"/>
      <c r="CE192" s="175"/>
      <c r="CF192" s="175"/>
      <c r="CG192" s="175"/>
      <c r="CH192" s="175"/>
      <c r="CI192" s="175"/>
      <c r="CJ192" s="175"/>
      <c r="CK192" s="175"/>
      <c r="CL192" s="175"/>
      <c r="CM192" s="175"/>
      <c r="CN192" s="175"/>
      <c r="CO192" s="175"/>
      <c r="CP192" s="175"/>
      <c r="CQ192" s="175"/>
      <c r="CR192" s="175"/>
      <c r="CS192" s="176"/>
    </row>
    <row r="193" spans="2:97" s="40" customFormat="1" ht="42" customHeight="1">
      <c r="B193" s="13" t="s">
        <v>800</v>
      </c>
      <c r="C193" s="3"/>
      <c r="D193" s="23">
        <f t="shared" si="33"/>
        <v>238.378</v>
      </c>
      <c r="E193" s="23">
        <f t="shared" si="33"/>
        <v>238.378</v>
      </c>
      <c r="F193" s="23"/>
      <c r="G193" s="23"/>
      <c r="H193" s="23">
        <v>238.378</v>
      </c>
      <c r="I193" s="23">
        <v>238.378</v>
      </c>
      <c r="J193" s="23"/>
      <c r="K193" s="23"/>
      <c r="L193" s="23"/>
      <c r="M193" s="204"/>
      <c r="N193" s="23">
        <f>D193</f>
        <v>238.378</v>
      </c>
      <c r="O193" s="23"/>
      <c r="P193" s="152"/>
      <c r="Q193" s="152"/>
      <c r="R193" s="165"/>
      <c r="S193" s="205">
        <f>D193-E193</f>
        <v>0</v>
      </c>
      <c r="T193" s="165"/>
      <c r="W193" s="177"/>
      <c r="X193" s="175"/>
      <c r="Y193" s="175"/>
      <c r="Z193" s="175"/>
      <c r="AA193" s="175"/>
      <c r="AB193" s="175"/>
      <c r="AC193" s="175"/>
      <c r="AD193" s="175"/>
      <c r="AE193" s="175"/>
      <c r="AF193" s="175"/>
      <c r="AG193" s="175"/>
      <c r="AH193" s="175"/>
      <c r="AI193" s="175"/>
      <c r="AJ193" s="175"/>
      <c r="AK193" s="175"/>
      <c r="AL193" s="175"/>
      <c r="AM193" s="175"/>
      <c r="AN193" s="175"/>
      <c r="AO193" s="175"/>
      <c r="AP193" s="175"/>
      <c r="AQ193" s="175"/>
      <c r="AR193" s="175"/>
      <c r="AS193" s="175"/>
      <c r="AT193" s="175"/>
      <c r="AU193" s="175"/>
      <c r="AV193" s="175"/>
      <c r="AW193" s="175"/>
      <c r="AX193" s="175"/>
      <c r="AY193" s="175"/>
      <c r="AZ193" s="175"/>
      <c r="BA193" s="175"/>
      <c r="BB193" s="175"/>
      <c r="BC193" s="175"/>
      <c r="BD193" s="175"/>
      <c r="BE193" s="175"/>
      <c r="BF193" s="175"/>
      <c r="BG193" s="175"/>
      <c r="BH193" s="175"/>
      <c r="BI193" s="175"/>
      <c r="BJ193" s="175"/>
      <c r="BK193" s="175"/>
      <c r="BL193" s="175"/>
      <c r="BM193" s="175"/>
      <c r="BN193" s="175"/>
      <c r="BO193" s="175"/>
      <c r="BP193" s="175"/>
      <c r="BQ193" s="175"/>
      <c r="BR193" s="175"/>
      <c r="BS193" s="175"/>
      <c r="BT193" s="175"/>
      <c r="BU193" s="175"/>
      <c r="BV193" s="175"/>
      <c r="BW193" s="175"/>
      <c r="BX193" s="175"/>
      <c r="BY193" s="175"/>
      <c r="BZ193" s="175"/>
      <c r="CA193" s="175"/>
      <c r="CB193" s="175"/>
      <c r="CC193" s="175"/>
      <c r="CD193" s="175"/>
      <c r="CE193" s="175"/>
      <c r="CF193" s="175"/>
      <c r="CG193" s="175"/>
      <c r="CH193" s="175"/>
      <c r="CI193" s="175"/>
      <c r="CJ193" s="175"/>
      <c r="CK193" s="175"/>
      <c r="CL193" s="175"/>
      <c r="CM193" s="175"/>
      <c r="CN193" s="175"/>
      <c r="CO193" s="175"/>
      <c r="CP193" s="175"/>
      <c r="CQ193" s="175"/>
      <c r="CR193" s="175"/>
      <c r="CS193" s="176"/>
    </row>
    <row r="194" spans="2:97" s="40" customFormat="1" ht="30.75" customHeight="1">
      <c r="B194" s="13" t="s">
        <v>801</v>
      </c>
      <c r="D194" s="23">
        <f t="shared" si="33"/>
        <v>173.963</v>
      </c>
      <c r="E194" s="23">
        <f t="shared" si="33"/>
        <v>173.962</v>
      </c>
      <c r="F194" s="23"/>
      <c r="G194" s="23"/>
      <c r="H194" s="23"/>
      <c r="I194" s="23"/>
      <c r="J194" s="23">
        <f>140.963</f>
        <v>140.963</v>
      </c>
      <c r="K194" s="23">
        <f>140.963</f>
        <v>140.963</v>
      </c>
      <c r="L194" s="23">
        <v>33</v>
      </c>
      <c r="M194" s="204">
        <v>32.999</v>
      </c>
      <c r="N194" s="23">
        <f>E194</f>
        <v>173.962</v>
      </c>
      <c r="O194" s="23"/>
      <c r="P194" s="152"/>
      <c r="Q194" s="152"/>
      <c r="R194" s="165"/>
      <c r="S194" s="205">
        <f>D194-E194</f>
        <v>0.0010000000000047748</v>
      </c>
      <c r="T194" s="165"/>
      <c r="W194" s="177"/>
      <c r="X194" s="175"/>
      <c r="Y194" s="175"/>
      <c r="Z194" s="175"/>
      <c r="AA194" s="175"/>
      <c r="AB194" s="175"/>
      <c r="AC194" s="175"/>
      <c r="AD194" s="175"/>
      <c r="AE194" s="175"/>
      <c r="AF194" s="175"/>
      <c r="AG194" s="175"/>
      <c r="AH194" s="175"/>
      <c r="AI194" s="175"/>
      <c r="AJ194" s="175"/>
      <c r="AK194" s="175"/>
      <c r="AL194" s="175"/>
      <c r="AM194" s="175"/>
      <c r="AN194" s="175"/>
      <c r="AO194" s="175"/>
      <c r="AP194" s="175"/>
      <c r="AQ194" s="175"/>
      <c r="AR194" s="175"/>
      <c r="AS194" s="175"/>
      <c r="AT194" s="175"/>
      <c r="AU194" s="175"/>
      <c r="AV194" s="175"/>
      <c r="AW194" s="175"/>
      <c r="AX194" s="175"/>
      <c r="AY194" s="175"/>
      <c r="AZ194" s="175"/>
      <c r="BA194" s="175"/>
      <c r="BB194" s="175"/>
      <c r="BC194" s="175"/>
      <c r="BD194" s="175"/>
      <c r="BE194" s="175"/>
      <c r="BF194" s="175"/>
      <c r="BG194" s="175"/>
      <c r="BH194" s="175"/>
      <c r="BI194" s="175"/>
      <c r="BJ194" s="175"/>
      <c r="BK194" s="175"/>
      <c r="BL194" s="175"/>
      <c r="BM194" s="175"/>
      <c r="BN194" s="175"/>
      <c r="BO194" s="175"/>
      <c r="BP194" s="175"/>
      <c r="BQ194" s="175"/>
      <c r="BR194" s="175"/>
      <c r="BS194" s="175"/>
      <c r="BT194" s="175"/>
      <c r="BU194" s="175"/>
      <c r="BV194" s="175"/>
      <c r="BW194" s="175"/>
      <c r="BX194" s="175"/>
      <c r="BY194" s="175"/>
      <c r="BZ194" s="175"/>
      <c r="CA194" s="175"/>
      <c r="CB194" s="175"/>
      <c r="CC194" s="175"/>
      <c r="CD194" s="175"/>
      <c r="CE194" s="175"/>
      <c r="CF194" s="175"/>
      <c r="CG194" s="175"/>
      <c r="CH194" s="175"/>
      <c r="CI194" s="175"/>
      <c r="CJ194" s="175"/>
      <c r="CK194" s="175"/>
      <c r="CL194" s="175"/>
      <c r="CM194" s="175"/>
      <c r="CN194" s="175"/>
      <c r="CO194" s="175"/>
      <c r="CP194" s="175"/>
      <c r="CQ194" s="175"/>
      <c r="CR194" s="175"/>
      <c r="CS194" s="176"/>
    </row>
    <row r="195" spans="2:97" s="40" customFormat="1" ht="30.75" customHeight="1">
      <c r="B195" s="154" t="s">
        <v>802</v>
      </c>
      <c r="D195" s="23">
        <f t="shared" si="33"/>
        <v>274</v>
      </c>
      <c r="E195" s="23">
        <f t="shared" si="33"/>
        <v>341.99</v>
      </c>
      <c r="F195" s="23"/>
      <c r="G195" s="23"/>
      <c r="H195" s="23"/>
      <c r="I195" s="23"/>
      <c r="J195" s="23"/>
      <c r="K195" s="23"/>
      <c r="L195" s="23">
        <v>274</v>
      </c>
      <c r="M195" s="204">
        <f>271.989+70.001</f>
        <v>341.99</v>
      </c>
      <c r="N195" s="23">
        <f>E195</f>
        <v>341.99</v>
      </c>
      <c r="O195" s="23"/>
      <c r="P195" s="152"/>
      <c r="Q195" s="152"/>
      <c r="R195" s="165"/>
      <c r="S195" s="205"/>
      <c r="T195" s="165"/>
      <c r="W195" s="177"/>
      <c r="X195" s="175"/>
      <c r="Y195" s="175"/>
      <c r="Z195" s="175"/>
      <c r="AA195" s="175"/>
      <c r="AB195" s="175"/>
      <c r="AC195" s="175"/>
      <c r="AD195" s="175"/>
      <c r="AE195" s="175"/>
      <c r="AF195" s="175"/>
      <c r="AG195" s="175"/>
      <c r="AH195" s="175"/>
      <c r="AI195" s="175"/>
      <c r="AJ195" s="175"/>
      <c r="AK195" s="175"/>
      <c r="AL195" s="175"/>
      <c r="AM195" s="175"/>
      <c r="AN195" s="175"/>
      <c r="AO195" s="175"/>
      <c r="AP195" s="175"/>
      <c r="AQ195" s="175"/>
      <c r="AR195" s="175"/>
      <c r="AS195" s="175"/>
      <c r="AT195" s="175"/>
      <c r="AU195" s="175"/>
      <c r="AV195" s="175"/>
      <c r="AW195" s="175"/>
      <c r="AX195" s="175"/>
      <c r="AY195" s="175"/>
      <c r="AZ195" s="175"/>
      <c r="BA195" s="175"/>
      <c r="BB195" s="175"/>
      <c r="BC195" s="175"/>
      <c r="BD195" s="175"/>
      <c r="BE195" s="175"/>
      <c r="BF195" s="175"/>
      <c r="BG195" s="175"/>
      <c r="BH195" s="175"/>
      <c r="BI195" s="175"/>
      <c r="BJ195" s="175"/>
      <c r="BK195" s="175"/>
      <c r="BL195" s="175"/>
      <c r="BM195" s="175"/>
      <c r="BN195" s="175"/>
      <c r="BO195" s="175"/>
      <c r="BP195" s="175"/>
      <c r="BQ195" s="175"/>
      <c r="BR195" s="175"/>
      <c r="BS195" s="175"/>
      <c r="BT195" s="175"/>
      <c r="BU195" s="175"/>
      <c r="BV195" s="175"/>
      <c r="BW195" s="175"/>
      <c r="BX195" s="175"/>
      <c r="BY195" s="175"/>
      <c r="BZ195" s="175"/>
      <c r="CA195" s="175"/>
      <c r="CB195" s="175"/>
      <c r="CC195" s="175"/>
      <c r="CD195" s="175"/>
      <c r="CE195" s="175"/>
      <c r="CF195" s="175"/>
      <c r="CG195" s="175"/>
      <c r="CH195" s="175"/>
      <c r="CI195" s="175"/>
      <c r="CJ195" s="175"/>
      <c r="CK195" s="175"/>
      <c r="CL195" s="175"/>
      <c r="CM195" s="175"/>
      <c r="CN195" s="175"/>
      <c r="CO195" s="175"/>
      <c r="CP195" s="175"/>
      <c r="CQ195" s="175"/>
      <c r="CR195" s="175"/>
      <c r="CS195" s="176"/>
    </row>
    <row r="196" spans="2:97" s="40" customFormat="1" ht="23.25" customHeight="1">
      <c r="B196" s="40" t="s">
        <v>803</v>
      </c>
      <c r="D196" s="23"/>
      <c r="E196" s="23"/>
      <c r="F196" s="23"/>
      <c r="G196" s="23"/>
      <c r="H196" s="23"/>
      <c r="I196" s="23"/>
      <c r="J196" s="23"/>
      <c r="K196" s="23"/>
      <c r="L196" s="206"/>
      <c r="M196" s="206"/>
      <c r="N196" s="23"/>
      <c r="O196" s="23"/>
      <c r="P196" s="152"/>
      <c r="Q196" s="152"/>
      <c r="R196" s="165"/>
      <c r="S196" s="205"/>
      <c r="T196" s="165"/>
      <c r="W196" s="177"/>
      <c r="X196" s="175"/>
      <c r="Y196" s="175"/>
      <c r="Z196" s="175"/>
      <c r="AA196" s="175"/>
      <c r="AB196" s="175"/>
      <c r="AC196" s="175"/>
      <c r="AD196" s="175"/>
      <c r="AE196" s="175"/>
      <c r="AF196" s="175"/>
      <c r="AG196" s="175"/>
      <c r="AH196" s="175"/>
      <c r="AI196" s="175"/>
      <c r="AJ196" s="175"/>
      <c r="AK196" s="175"/>
      <c r="AL196" s="175"/>
      <c r="AM196" s="175"/>
      <c r="AN196" s="175"/>
      <c r="AO196" s="175"/>
      <c r="AP196" s="175"/>
      <c r="AQ196" s="175"/>
      <c r="AR196" s="175"/>
      <c r="AS196" s="175"/>
      <c r="AT196" s="175"/>
      <c r="AU196" s="175"/>
      <c r="AV196" s="175"/>
      <c r="AW196" s="175"/>
      <c r="AX196" s="175"/>
      <c r="AY196" s="175"/>
      <c r="AZ196" s="175"/>
      <c r="BA196" s="175"/>
      <c r="BB196" s="175"/>
      <c r="BC196" s="175"/>
      <c r="BD196" s="175"/>
      <c r="BE196" s="175"/>
      <c r="BF196" s="175"/>
      <c r="BG196" s="175"/>
      <c r="BH196" s="175"/>
      <c r="BI196" s="175"/>
      <c r="BJ196" s="175"/>
      <c r="BK196" s="175"/>
      <c r="BL196" s="175"/>
      <c r="BM196" s="175"/>
      <c r="BN196" s="175"/>
      <c r="BO196" s="175"/>
      <c r="BP196" s="175"/>
      <c r="BQ196" s="175"/>
      <c r="BR196" s="175"/>
      <c r="BS196" s="175"/>
      <c r="BT196" s="175"/>
      <c r="BU196" s="175"/>
      <c r="BV196" s="175"/>
      <c r="BW196" s="175"/>
      <c r="BX196" s="175"/>
      <c r="BY196" s="175"/>
      <c r="BZ196" s="175"/>
      <c r="CA196" s="175"/>
      <c r="CB196" s="175"/>
      <c r="CC196" s="175"/>
      <c r="CD196" s="175"/>
      <c r="CE196" s="175"/>
      <c r="CF196" s="175"/>
      <c r="CG196" s="175"/>
      <c r="CH196" s="175"/>
      <c r="CI196" s="175"/>
      <c r="CJ196" s="175"/>
      <c r="CK196" s="175"/>
      <c r="CL196" s="175"/>
      <c r="CM196" s="175"/>
      <c r="CN196" s="175"/>
      <c r="CO196" s="175"/>
      <c r="CP196" s="175"/>
      <c r="CQ196" s="175"/>
      <c r="CR196" s="175"/>
      <c r="CS196" s="176"/>
    </row>
    <row r="197" spans="2:97" s="40" customFormat="1" ht="30.75" customHeight="1">
      <c r="B197" s="13" t="s">
        <v>804</v>
      </c>
      <c r="D197" s="23">
        <f>F197+H197+J197+L197</f>
        <v>189.55</v>
      </c>
      <c r="E197" s="23">
        <f>G197+I197+K197+M197</f>
        <v>189.55100000000002</v>
      </c>
      <c r="F197" s="23"/>
      <c r="G197" s="23"/>
      <c r="H197" s="23"/>
      <c r="I197" s="23"/>
      <c r="J197" s="23">
        <f>156.55</f>
        <v>156.55</v>
      </c>
      <c r="K197" s="23">
        <f>156.55</f>
        <v>156.55</v>
      </c>
      <c r="L197" s="23">
        <v>33</v>
      </c>
      <c r="M197" s="204">
        <v>33.001</v>
      </c>
      <c r="N197" s="23">
        <f>E197</f>
        <v>189.55100000000002</v>
      </c>
      <c r="O197" s="23"/>
      <c r="P197" s="152"/>
      <c r="Q197" s="152"/>
      <c r="R197" s="165"/>
      <c r="S197" s="205">
        <f>D197-E197</f>
        <v>-0.0010000000000047748</v>
      </c>
      <c r="T197" s="165"/>
      <c r="W197" s="23"/>
      <c r="X197" s="175"/>
      <c r="Y197" s="175"/>
      <c r="Z197" s="175"/>
      <c r="AA197" s="175"/>
      <c r="AB197" s="175"/>
      <c r="AC197" s="175"/>
      <c r="AD197" s="175"/>
      <c r="AE197" s="175"/>
      <c r="AF197" s="175"/>
      <c r="AG197" s="175"/>
      <c r="AH197" s="175"/>
      <c r="AI197" s="175"/>
      <c r="AJ197" s="175"/>
      <c r="AK197" s="175"/>
      <c r="AL197" s="175"/>
      <c r="AM197" s="175"/>
      <c r="AN197" s="175"/>
      <c r="AO197" s="175"/>
      <c r="AP197" s="175"/>
      <c r="AQ197" s="175"/>
      <c r="AR197" s="175"/>
      <c r="AS197" s="175"/>
      <c r="AT197" s="175"/>
      <c r="AU197" s="175"/>
      <c r="AV197" s="175"/>
      <c r="AW197" s="175"/>
      <c r="AX197" s="175"/>
      <c r="AY197" s="175"/>
      <c r="AZ197" s="175"/>
      <c r="BA197" s="175"/>
      <c r="BB197" s="175"/>
      <c r="BC197" s="175"/>
      <c r="BD197" s="175"/>
      <c r="BE197" s="175"/>
      <c r="BF197" s="175"/>
      <c r="BG197" s="175"/>
      <c r="BH197" s="175"/>
      <c r="BI197" s="175"/>
      <c r="BJ197" s="175"/>
      <c r="BK197" s="175"/>
      <c r="BL197" s="175"/>
      <c r="BM197" s="175"/>
      <c r="BN197" s="175"/>
      <c r="BO197" s="175"/>
      <c r="BP197" s="175"/>
      <c r="BQ197" s="175"/>
      <c r="BR197" s="175"/>
      <c r="BS197" s="175"/>
      <c r="BT197" s="175"/>
      <c r="BU197" s="175"/>
      <c r="BV197" s="175"/>
      <c r="BW197" s="175"/>
      <c r="BX197" s="175"/>
      <c r="BY197" s="175"/>
      <c r="BZ197" s="175"/>
      <c r="CA197" s="175"/>
      <c r="CB197" s="175"/>
      <c r="CC197" s="175"/>
      <c r="CD197" s="175"/>
      <c r="CE197" s="175"/>
      <c r="CF197" s="175"/>
      <c r="CG197" s="175"/>
      <c r="CH197" s="175"/>
      <c r="CI197" s="175"/>
      <c r="CJ197" s="175"/>
      <c r="CK197" s="175"/>
      <c r="CL197" s="175"/>
      <c r="CM197" s="175"/>
      <c r="CN197" s="175"/>
      <c r="CO197" s="175"/>
      <c r="CP197" s="175"/>
      <c r="CQ197" s="175"/>
      <c r="CR197" s="175"/>
      <c r="CS197" s="176"/>
    </row>
    <row r="198" spans="2:97" s="40" customFormat="1" ht="24" customHeight="1">
      <c r="B198" s="40" t="s">
        <v>169</v>
      </c>
      <c r="C198" s="3"/>
      <c r="D198" s="24">
        <f>F198+H198+J198+L198</f>
        <v>2291.224</v>
      </c>
      <c r="E198" s="24">
        <f>G198+I198+K198+M198</f>
        <v>2430.6349999999998</v>
      </c>
      <c r="F198" s="24">
        <f aca="true" t="shared" si="34" ref="F198:K198">F200+F201+F202+F204+F206</f>
        <v>317.749</v>
      </c>
      <c r="G198" s="24">
        <f t="shared" si="34"/>
        <v>317.749</v>
      </c>
      <c r="H198" s="24">
        <f t="shared" si="34"/>
        <v>368.75</v>
      </c>
      <c r="I198" s="24">
        <f t="shared" si="34"/>
        <v>368.75</v>
      </c>
      <c r="J198" s="24">
        <f t="shared" si="34"/>
        <v>1096.658</v>
      </c>
      <c r="K198" s="24">
        <f t="shared" si="34"/>
        <v>1096.658</v>
      </c>
      <c r="L198" s="24">
        <f>L200+L201+L202+L204+L206+L207</f>
        <v>508.067</v>
      </c>
      <c r="M198" s="24">
        <f>M200+M201+M202+M204+M206+M207</f>
        <v>647.478</v>
      </c>
      <c r="N198" s="24">
        <f>N200+N201+N202+N204+N206+N207</f>
        <v>2430.635</v>
      </c>
      <c r="O198" s="24"/>
      <c r="P198" s="3"/>
      <c r="Q198" s="3"/>
      <c r="R198" s="3"/>
      <c r="S198" s="24">
        <f>S200+S201+S202+S204+S206</f>
        <v>-21.1070000000002</v>
      </c>
      <c r="T198" s="165"/>
      <c r="X198" s="175"/>
      <c r="Y198" s="175"/>
      <c r="Z198" s="175"/>
      <c r="AA198" s="175"/>
      <c r="AB198" s="175"/>
      <c r="AC198" s="175"/>
      <c r="AD198" s="175"/>
      <c r="AE198" s="175"/>
      <c r="AF198" s="175"/>
      <c r="AG198" s="175"/>
      <c r="AH198" s="175"/>
      <c r="AI198" s="175"/>
      <c r="AJ198" s="175"/>
      <c r="AK198" s="175"/>
      <c r="AL198" s="175"/>
      <c r="AM198" s="175"/>
      <c r="AN198" s="175"/>
      <c r="AO198" s="175"/>
      <c r="AP198" s="175"/>
      <c r="AQ198" s="175"/>
      <c r="AR198" s="175"/>
      <c r="AS198" s="175"/>
      <c r="AT198" s="175"/>
      <c r="AU198" s="175"/>
      <c r="AV198" s="175"/>
      <c r="AW198" s="175"/>
      <c r="AX198" s="175"/>
      <c r="AY198" s="175"/>
      <c r="AZ198" s="175"/>
      <c r="BA198" s="175"/>
      <c r="BB198" s="175"/>
      <c r="BC198" s="175"/>
      <c r="BD198" s="175"/>
      <c r="BE198" s="175"/>
      <c r="BF198" s="175"/>
      <c r="BG198" s="175"/>
      <c r="BH198" s="175"/>
      <c r="BI198" s="175"/>
      <c r="BJ198" s="175"/>
      <c r="BK198" s="175"/>
      <c r="BL198" s="175"/>
      <c r="BM198" s="175"/>
      <c r="BN198" s="175"/>
      <c r="BO198" s="175"/>
      <c r="BP198" s="175"/>
      <c r="BQ198" s="175"/>
      <c r="BR198" s="175"/>
      <c r="BS198" s="175"/>
      <c r="BT198" s="175"/>
      <c r="BU198" s="175"/>
      <c r="BV198" s="175"/>
      <c r="BW198" s="175"/>
      <c r="BX198" s="175"/>
      <c r="BY198" s="175"/>
      <c r="BZ198" s="175"/>
      <c r="CA198" s="175"/>
      <c r="CB198" s="175"/>
      <c r="CC198" s="175"/>
      <c r="CD198" s="175"/>
      <c r="CE198" s="175"/>
      <c r="CF198" s="175"/>
      <c r="CG198" s="175"/>
      <c r="CH198" s="175"/>
      <c r="CI198" s="175"/>
      <c r="CJ198" s="175"/>
      <c r="CK198" s="175"/>
      <c r="CL198" s="175"/>
      <c r="CM198" s="175"/>
      <c r="CN198" s="175"/>
      <c r="CO198" s="175"/>
      <c r="CP198" s="175"/>
      <c r="CQ198" s="175"/>
      <c r="CR198" s="175"/>
      <c r="CS198" s="176"/>
    </row>
    <row r="199" spans="1:96" s="212" customFormat="1" ht="15.75" customHeight="1">
      <c r="A199" s="207"/>
      <c r="B199" s="40" t="s">
        <v>805</v>
      </c>
      <c r="C199" s="3"/>
      <c r="D199" s="8"/>
      <c r="E199" s="23"/>
      <c r="F199" s="8"/>
      <c r="G199" s="23"/>
      <c r="H199" s="8"/>
      <c r="I199" s="8"/>
      <c r="J199" s="8"/>
      <c r="K199" s="5"/>
      <c r="L199" s="5"/>
      <c r="M199" s="141"/>
      <c r="N199" s="23"/>
      <c r="O199" s="23"/>
      <c r="P199" s="165"/>
      <c r="Q199" s="165"/>
      <c r="R199" s="208"/>
      <c r="S199" s="153"/>
      <c r="T199" s="209"/>
      <c r="U199" s="210"/>
      <c r="V199" s="210"/>
      <c r="W199" s="177"/>
      <c r="X199" s="211"/>
      <c r="Y199" s="211"/>
      <c r="Z199" s="211"/>
      <c r="AA199" s="211"/>
      <c r="AB199" s="211"/>
      <c r="AC199" s="211"/>
      <c r="AD199" s="211"/>
      <c r="AE199" s="211"/>
      <c r="AF199" s="211"/>
      <c r="AG199" s="211"/>
      <c r="AH199" s="211"/>
      <c r="AI199" s="211"/>
      <c r="AJ199" s="211"/>
      <c r="AK199" s="211"/>
      <c r="AL199" s="211"/>
      <c r="AM199" s="211"/>
      <c r="AN199" s="211"/>
      <c r="AO199" s="211"/>
      <c r="AP199" s="211"/>
      <c r="AQ199" s="211"/>
      <c r="AR199" s="211"/>
      <c r="AS199" s="211"/>
      <c r="AT199" s="211"/>
      <c r="AU199" s="211"/>
      <c r="AV199" s="211"/>
      <c r="AW199" s="211"/>
      <c r="AX199" s="211"/>
      <c r="AY199" s="211"/>
      <c r="AZ199" s="211"/>
      <c r="BA199" s="211"/>
      <c r="BB199" s="211"/>
      <c r="BC199" s="211"/>
      <c r="BD199" s="211"/>
      <c r="BE199" s="211"/>
      <c r="BF199" s="211"/>
      <c r="BG199" s="211"/>
      <c r="BH199" s="211"/>
      <c r="BI199" s="211"/>
      <c r="BJ199" s="211"/>
      <c r="BK199" s="211"/>
      <c r="BL199" s="211"/>
      <c r="BM199" s="211"/>
      <c r="BN199" s="211"/>
      <c r="BO199" s="211"/>
      <c r="BP199" s="211"/>
      <c r="BQ199" s="211"/>
      <c r="BR199" s="211"/>
      <c r="BS199" s="211"/>
      <c r="BT199" s="211"/>
      <c r="BU199" s="211"/>
      <c r="BV199" s="211"/>
      <c r="BW199" s="211"/>
      <c r="BX199" s="211"/>
      <c r="BY199" s="211"/>
      <c r="BZ199" s="211"/>
      <c r="CA199" s="211"/>
      <c r="CB199" s="211"/>
      <c r="CC199" s="211"/>
      <c r="CD199" s="211"/>
      <c r="CE199" s="211"/>
      <c r="CF199" s="211"/>
      <c r="CG199" s="211"/>
      <c r="CH199" s="211"/>
      <c r="CI199" s="211"/>
      <c r="CJ199" s="211"/>
      <c r="CK199" s="211"/>
      <c r="CL199" s="211"/>
      <c r="CM199" s="211"/>
      <c r="CN199" s="211"/>
      <c r="CO199" s="211"/>
      <c r="CP199" s="211"/>
      <c r="CQ199" s="211"/>
      <c r="CR199" s="211"/>
    </row>
    <row r="200" spans="2:97" s="40" customFormat="1" ht="48.75" customHeight="1">
      <c r="B200" s="13" t="s">
        <v>806</v>
      </c>
      <c r="C200" s="3"/>
      <c r="D200" s="23">
        <f aca="true" t="shared" si="35" ref="D200:E202">F200+H200+J200+L200</f>
        <v>317.749</v>
      </c>
      <c r="E200" s="23">
        <f t="shared" si="35"/>
        <v>317.749</v>
      </c>
      <c r="F200" s="23">
        <v>317.749</v>
      </c>
      <c r="G200" s="23">
        <v>317.749</v>
      </c>
      <c r="H200" s="23"/>
      <c r="I200" s="8"/>
      <c r="J200" s="8"/>
      <c r="K200" s="8"/>
      <c r="L200" s="8"/>
      <c r="M200" s="141"/>
      <c r="N200" s="23">
        <v>317.749</v>
      </c>
      <c r="O200" s="23"/>
      <c r="P200" s="152"/>
      <c r="Q200" s="152"/>
      <c r="R200" s="165"/>
      <c r="S200" s="205">
        <f>D200-E200</f>
        <v>0</v>
      </c>
      <c r="T200" s="165"/>
      <c r="W200" s="177"/>
      <c r="X200" s="175"/>
      <c r="Y200" s="175"/>
      <c r="Z200" s="175"/>
      <c r="AA200" s="175"/>
      <c r="AB200" s="175"/>
      <c r="AC200" s="175"/>
      <c r="AD200" s="175"/>
      <c r="AE200" s="175"/>
      <c r="AF200" s="175"/>
      <c r="AG200" s="175"/>
      <c r="AH200" s="175"/>
      <c r="AI200" s="175"/>
      <c r="AJ200" s="175"/>
      <c r="AK200" s="175"/>
      <c r="AL200" s="175"/>
      <c r="AM200" s="175"/>
      <c r="AN200" s="175"/>
      <c r="AO200" s="175"/>
      <c r="AP200" s="175"/>
      <c r="AQ200" s="175"/>
      <c r="AR200" s="175"/>
      <c r="AS200" s="175"/>
      <c r="AT200" s="175"/>
      <c r="AU200" s="175"/>
      <c r="AV200" s="175"/>
      <c r="AW200" s="175"/>
      <c r="AX200" s="175"/>
      <c r="AY200" s="175"/>
      <c r="AZ200" s="175"/>
      <c r="BA200" s="175"/>
      <c r="BB200" s="175"/>
      <c r="BC200" s="175"/>
      <c r="BD200" s="175"/>
      <c r="BE200" s="175"/>
      <c r="BF200" s="175"/>
      <c r="BG200" s="175"/>
      <c r="BH200" s="175"/>
      <c r="BI200" s="175"/>
      <c r="BJ200" s="175"/>
      <c r="BK200" s="175"/>
      <c r="BL200" s="175"/>
      <c r="BM200" s="175"/>
      <c r="BN200" s="175"/>
      <c r="BO200" s="175"/>
      <c r="BP200" s="175"/>
      <c r="BQ200" s="175"/>
      <c r="BR200" s="175"/>
      <c r="BS200" s="175"/>
      <c r="BT200" s="175"/>
      <c r="BU200" s="175"/>
      <c r="BV200" s="175"/>
      <c r="BW200" s="175"/>
      <c r="BX200" s="175"/>
      <c r="BY200" s="175"/>
      <c r="BZ200" s="175"/>
      <c r="CA200" s="175"/>
      <c r="CB200" s="175"/>
      <c r="CC200" s="175"/>
      <c r="CD200" s="175"/>
      <c r="CE200" s="175"/>
      <c r="CF200" s="175"/>
      <c r="CG200" s="175"/>
      <c r="CH200" s="175"/>
      <c r="CI200" s="175"/>
      <c r="CJ200" s="175"/>
      <c r="CK200" s="175"/>
      <c r="CL200" s="175"/>
      <c r="CM200" s="175"/>
      <c r="CN200" s="175"/>
      <c r="CO200" s="175"/>
      <c r="CP200" s="175"/>
      <c r="CQ200" s="175"/>
      <c r="CR200" s="175"/>
      <c r="CS200" s="176"/>
    </row>
    <row r="201" spans="2:97" s="40" customFormat="1" ht="40.5" customHeight="1">
      <c r="B201" s="13" t="s">
        <v>807</v>
      </c>
      <c r="C201" s="3"/>
      <c r="D201" s="23">
        <f t="shared" si="35"/>
        <v>277.202</v>
      </c>
      <c r="E201" s="23">
        <f t="shared" si="35"/>
        <v>277.202</v>
      </c>
      <c r="F201" s="23"/>
      <c r="G201" s="23"/>
      <c r="H201" s="23">
        <v>277.202</v>
      </c>
      <c r="I201" s="23">
        <v>277.202</v>
      </c>
      <c r="J201" s="8"/>
      <c r="K201" s="8"/>
      <c r="L201" s="8"/>
      <c r="M201" s="141"/>
      <c r="N201" s="23">
        <v>277.202</v>
      </c>
      <c r="O201" s="23"/>
      <c r="P201" s="165"/>
      <c r="Q201" s="165"/>
      <c r="R201" s="165"/>
      <c r="S201" s="205">
        <f>D201-E201</f>
        <v>0</v>
      </c>
      <c r="T201" s="165"/>
      <c r="W201" s="177"/>
      <c r="X201" s="175"/>
      <c r="Y201" s="175"/>
      <c r="Z201" s="175"/>
      <c r="AA201" s="175"/>
      <c r="AB201" s="175"/>
      <c r="AC201" s="175"/>
      <c r="AD201" s="175"/>
      <c r="AE201" s="175"/>
      <c r="AF201" s="175"/>
      <c r="AG201" s="175"/>
      <c r="AH201" s="175"/>
      <c r="AI201" s="175"/>
      <c r="AJ201" s="175"/>
      <c r="AK201" s="175"/>
      <c r="AL201" s="175"/>
      <c r="AM201" s="175"/>
      <c r="AN201" s="175"/>
      <c r="AO201" s="175"/>
      <c r="AP201" s="175"/>
      <c r="AQ201" s="175"/>
      <c r="AR201" s="175"/>
      <c r="AS201" s="175"/>
      <c r="AT201" s="175"/>
      <c r="AU201" s="175"/>
      <c r="AV201" s="175"/>
      <c r="AW201" s="175"/>
      <c r="AX201" s="175"/>
      <c r="AY201" s="175"/>
      <c r="AZ201" s="175"/>
      <c r="BA201" s="175"/>
      <c r="BB201" s="175"/>
      <c r="BC201" s="175"/>
      <c r="BD201" s="175"/>
      <c r="BE201" s="175"/>
      <c r="BF201" s="175"/>
      <c r="BG201" s="175"/>
      <c r="BH201" s="175"/>
      <c r="BI201" s="175"/>
      <c r="BJ201" s="175"/>
      <c r="BK201" s="175"/>
      <c r="BL201" s="175"/>
      <c r="BM201" s="175"/>
      <c r="BN201" s="175"/>
      <c r="BO201" s="175"/>
      <c r="BP201" s="175"/>
      <c r="BQ201" s="175"/>
      <c r="BR201" s="175"/>
      <c r="BS201" s="175"/>
      <c r="BT201" s="175"/>
      <c r="BU201" s="175"/>
      <c r="BV201" s="175"/>
      <c r="BW201" s="175"/>
      <c r="BX201" s="175"/>
      <c r="BY201" s="175"/>
      <c r="BZ201" s="175"/>
      <c r="CA201" s="175"/>
      <c r="CB201" s="175"/>
      <c r="CC201" s="175"/>
      <c r="CD201" s="175"/>
      <c r="CE201" s="175"/>
      <c r="CF201" s="175"/>
      <c r="CG201" s="175"/>
      <c r="CH201" s="175"/>
      <c r="CI201" s="175"/>
      <c r="CJ201" s="175"/>
      <c r="CK201" s="175"/>
      <c r="CL201" s="175"/>
      <c r="CM201" s="175"/>
      <c r="CN201" s="175"/>
      <c r="CO201" s="175"/>
      <c r="CP201" s="175"/>
      <c r="CQ201" s="175"/>
      <c r="CR201" s="175"/>
      <c r="CS201" s="176"/>
    </row>
    <row r="202" spans="2:97" s="40" customFormat="1" ht="31.5" customHeight="1">
      <c r="B202" s="13" t="s">
        <v>808</v>
      </c>
      <c r="C202" s="3"/>
      <c r="D202" s="23">
        <f t="shared" si="35"/>
        <v>91.548</v>
      </c>
      <c r="E202" s="23">
        <f t="shared" si="35"/>
        <v>91.548</v>
      </c>
      <c r="F202" s="8"/>
      <c r="G202" s="8"/>
      <c r="H202" s="23">
        <v>91.548</v>
      </c>
      <c r="I202" s="23">
        <v>91.548</v>
      </c>
      <c r="J202" s="8"/>
      <c r="K202" s="8"/>
      <c r="L202" s="8"/>
      <c r="M202" s="141"/>
      <c r="N202" s="23">
        <v>91.548</v>
      </c>
      <c r="O202" s="23"/>
      <c r="P202" s="165"/>
      <c r="Q202" s="165"/>
      <c r="R202" s="165"/>
      <c r="S202" s="205">
        <f>D202-E202</f>
        <v>0</v>
      </c>
      <c r="T202" s="165"/>
      <c r="W202" s="13"/>
      <c r="X202" s="175"/>
      <c r="Y202" s="175"/>
      <c r="Z202" s="175"/>
      <c r="AA202" s="175"/>
      <c r="AB202" s="175"/>
      <c r="AC202" s="175"/>
      <c r="AD202" s="175"/>
      <c r="AE202" s="175"/>
      <c r="AF202" s="175"/>
      <c r="AG202" s="175"/>
      <c r="AH202" s="175"/>
      <c r="AI202" s="175"/>
      <c r="AJ202" s="175"/>
      <c r="AK202" s="175"/>
      <c r="AL202" s="175"/>
      <c r="AM202" s="175"/>
      <c r="AN202" s="175"/>
      <c r="AO202" s="175"/>
      <c r="AP202" s="175"/>
      <c r="AQ202" s="175"/>
      <c r="AR202" s="175"/>
      <c r="AS202" s="175"/>
      <c r="AT202" s="175"/>
      <c r="AU202" s="175"/>
      <c r="AV202" s="175"/>
      <c r="AW202" s="175"/>
      <c r="AX202" s="175"/>
      <c r="AY202" s="175"/>
      <c r="AZ202" s="175"/>
      <c r="BA202" s="175"/>
      <c r="BB202" s="175"/>
      <c r="BC202" s="175"/>
      <c r="BD202" s="175"/>
      <c r="BE202" s="175"/>
      <c r="BF202" s="175"/>
      <c r="BG202" s="175"/>
      <c r="BH202" s="175"/>
      <c r="BI202" s="175"/>
      <c r="BJ202" s="175"/>
      <c r="BK202" s="175"/>
      <c r="BL202" s="175"/>
      <c r="BM202" s="175"/>
      <c r="BN202" s="175"/>
      <c r="BO202" s="175"/>
      <c r="BP202" s="175"/>
      <c r="BQ202" s="175"/>
      <c r="BR202" s="175"/>
      <c r="BS202" s="175"/>
      <c r="BT202" s="175"/>
      <c r="BU202" s="175"/>
      <c r="BV202" s="175"/>
      <c r="BW202" s="175"/>
      <c r="BX202" s="175"/>
      <c r="BY202" s="175"/>
      <c r="BZ202" s="175"/>
      <c r="CA202" s="175"/>
      <c r="CB202" s="175"/>
      <c r="CC202" s="175"/>
      <c r="CD202" s="175"/>
      <c r="CE202" s="175"/>
      <c r="CF202" s="175"/>
      <c r="CG202" s="175"/>
      <c r="CH202" s="175"/>
      <c r="CI202" s="175"/>
      <c r="CJ202" s="175"/>
      <c r="CK202" s="175"/>
      <c r="CL202" s="175"/>
      <c r="CM202" s="175"/>
      <c r="CN202" s="175"/>
      <c r="CO202" s="175"/>
      <c r="CP202" s="175"/>
      <c r="CQ202" s="175"/>
      <c r="CR202" s="175"/>
      <c r="CS202" s="176"/>
    </row>
    <row r="203" spans="2:97" s="40" customFormat="1" ht="21" customHeight="1">
      <c r="B203" s="40" t="s">
        <v>809</v>
      </c>
      <c r="D203" s="8"/>
      <c r="E203" s="23"/>
      <c r="F203" s="177"/>
      <c r="G203" s="6"/>
      <c r="H203" s="8"/>
      <c r="I203" s="23"/>
      <c r="J203" s="68"/>
      <c r="K203" s="69"/>
      <c r="L203" s="110"/>
      <c r="M203" s="110"/>
      <c r="N203" s="8"/>
      <c r="O203" s="23"/>
      <c r="P203" s="165"/>
      <c r="Q203" s="165"/>
      <c r="R203" s="165"/>
      <c r="S203" s="205"/>
      <c r="T203" s="165"/>
      <c r="W203" s="13"/>
      <c r="X203" s="175"/>
      <c r="Y203" s="175"/>
      <c r="Z203" s="175"/>
      <c r="AA203" s="175"/>
      <c r="AB203" s="175"/>
      <c r="AC203" s="175"/>
      <c r="AD203" s="175"/>
      <c r="AE203" s="175"/>
      <c r="AF203" s="175"/>
      <c r="AG203" s="175"/>
      <c r="AH203" s="175"/>
      <c r="AI203" s="175"/>
      <c r="AJ203" s="175"/>
      <c r="AK203" s="175"/>
      <c r="AL203" s="175"/>
      <c r="AM203" s="175"/>
      <c r="AN203" s="175"/>
      <c r="AO203" s="175"/>
      <c r="AP203" s="175"/>
      <c r="AQ203" s="175"/>
      <c r="AR203" s="175"/>
      <c r="AS203" s="175"/>
      <c r="AT203" s="175"/>
      <c r="AU203" s="175"/>
      <c r="AV203" s="175"/>
      <c r="AW203" s="175"/>
      <c r="AX203" s="175"/>
      <c r="AY203" s="175"/>
      <c r="AZ203" s="175"/>
      <c r="BA203" s="175"/>
      <c r="BB203" s="175"/>
      <c r="BC203" s="175"/>
      <c r="BD203" s="175"/>
      <c r="BE203" s="175"/>
      <c r="BF203" s="175"/>
      <c r="BG203" s="175"/>
      <c r="BH203" s="175"/>
      <c r="BI203" s="175"/>
      <c r="BJ203" s="175"/>
      <c r="BK203" s="175"/>
      <c r="BL203" s="175"/>
      <c r="BM203" s="175"/>
      <c r="BN203" s="175"/>
      <c r="BO203" s="175"/>
      <c r="BP203" s="175"/>
      <c r="BQ203" s="175"/>
      <c r="BR203" s="175"/>
      <c r="BS203" s="175"/>
      <c r="BT203" s="175"/>
      <c r="BU203" s="175"/>
      <c r="BV203" s="175"/>
      <c r="BW203" s="175"/>
      <c r="BX203" s="175"/>
      <c r="BY203" s="175"/>
      <c r="BZ203" s="175"/>
      <c r="CA203" s="175"/>
      <c r="CB203" s="175"/>
      <c r="CC203" s="175"/>
      <c r="CD203" s="175"/>
      <c r="CE203" s="175"/>
      <c r="CF203" s="175"/>
      <c r="CG203" s="175"/>
      <c r="CH203" s="175"/>
      <c r="CI203" s="175"/>
      <c r="CJ203" s="175"/>
      <c r="CK203" s="175"/>
      <c r="CL203" s="175"/>
      <c r="CM203" s="175"/>
      <c r="CN203" s="175"/>
      <c r="CO203" s="175"/>
      <c r="CP203" s="175"/>
      <c r="CQ203" s="175"/>
      <c r="CR203" s="175"/>
      <c r="CS203" s="176"/>
    </row>
    <row r="204" spans="2:97" s="40" customFormat="1" ht="45.75" customHeight="1">
      <c r="B204" s="13" t="s">
        <v>810</v>
      </c>
      <c r="D204" s="23">
        <f>F204+H204+J204+L204</f>
        <v>629.387</v>
      </c>
      <c r="E204" s="23">
        <f>G204+I204+K204+M204</f>
        <v>619.912</v>
      </c>
      <c r="F204" s="177"/>
      <c r="G204" s="6"/>
      <c r="H204" s="8"/>
      <c r="I204" s="23"/>
      <c r="J204" s="167">
        <f>507.664</f>
        <v>507.664</v>
      </c>
      <c r="K204" s="167">
        <f>507.664</f>
        <v>507.664</v>
      </c>
      <c r="L204" s="110">
        <v>121.723</v>
      </c>
      <c r="M204" s="110">
        <v>112.248</v>
      </c>
      <c r="N204" s="23">
        <f>E204</f>
        <v>619.912</v>
      </c>
      <c r="O204" s="23"/>
      <c r="P204" s="165"/>
      <c r="Q204" s="165"/>
      <c r="R204" s="165"/>
      <c r="S204" s="205">
        <f>D204-E204</f>
        <v>9.474999999999909</v>
      </c>
      <c r="T204" s="165"/>
      <c r="W204" s="177" t="s">
        <v>762</v>
      </c>
      <c r="X204" s="175"/>
      <c r="Y204" s="175"/>
      <c r="Z204" s="175"/>
      <c r="AA204" s="175"/>
      <c r="AB204" s="175"/>
      <c r="AC204" s="175"/>
      <c r="AD204" s="175"/>
      <c r="AE204" s="175"/>
      <c r="AF204" s="175"/>
      <c r="AG204" s="175"/>
      <c r="AH204" s="175"/>
      <c r="AI204" s="175"/>
      <c r="AJ204" s="175"/>
      <c r="AK204" s="175"/>
      <c r="AL204" s="175"/>
      <c r="AM204" s="175"/>
      <c r="AN204" s="175"/>
      <c r="AO204" s="175"/>
      <c r="AP204" s="175"/>
      <c r="AQ204" s="175"/>
      <c r="AR204" s="175"/>
      <c r="AS204" s="175"/>
      <c r="AT204" s="175"/>
      <c r="AU204" s="175"/>
      <c r="AV204" s="175"/>
      <c r="AW204" s="175"/>
      <c r="AX204" s="175"/>
      <c r="AY204" s="175"/>
      <c r="AZ204" s="175"/>
      <c r="BA204" s="175"/>
      <c r="BB204" s="175"/>
      <c r="BC204" s="175"/>
      <c r="BD204" s="175"/>
      <c r="BE204" s="175"/>
      <c r="BF204" s="175"/>
      <c r="BG204" s="175"/>
      <c r="BH204" s="175"/>
      <c r="BI204" s="175"/>
      <c r="BJ204" s="175"/>
      <c r="BK204" s="175"/>
      <c r="BL204" s="175"/>
      <c r="BM204" s="175"/>
      <c r="BN204" s="175"/>
      <c r="BO204" s="175"/>
      <c r="BP204" s="175"/>
      <c r="BQ204" s="175"/>
      <c r="BR204" s="175"/>
      <c r="BS204" s="175"/>
      <c r="BT204" s="175"/>
      <c r="BU204" s="175"/>
      <c r="BV204" s="175"/>
      <c r="BW204" s="175"/>
      <c r="BX204" s="175"/>
      <c r="BY204" s="175"/>
      <c r="BZ204" s="175"/>
      <c r="CA204" s="175"/>
      <c r="CB204" s="175"/>
      <c r="CC204" s="175"/>
      <c r="CD204" s="175"/>
      <c r="CE204" s="175"/>
      <c r="CF204" s="175"/>
      <c r="CG204" s="175"/>
      <c r="CH204" s="175"/>
      <c r="CI204" s="175"/>
      <c r="CJ204" s="175"/>
      <c r="CK204" s="175"/>
      <c r="CL204" s="175"/>
      <c r="CM204" s="175"/>
      <c r="CN204" s="175"/>
      <c r="CO204" s="175"/>
      <c r="CP204" s="175"/>
      <c r="CQ204" s="175"/>
      <c r="CR204" s="175"/>
      <c r="CS204" s="176"/>
    </row>
    <row r="205" spans="2:97" s="40" customFormat="1" ht="21.75" customHeight="1">
      <c r="B205" s="40" t="s">
        <v>811</v>
      </c>
      <c r="D205" s="8"/>
      <c r="E205" s="23"/>
      <c r="F205" s="177"/>
      <c r="G205" s="6"/>
      <c r="H205" s="8"/>
      <c r="I205" s="23"/>
      <c r="J205" s="110"/>
      <c r="K205" s="110"/>
      <c r="L205" s="110"/>
      <c r="M205" s="110"/>
      <c r="N205" s="23"/>
      <c r="O205" s="23"/>
      <c r="P205" s="165"/>
      <c r="Q205" s="165"/>
      <c r="R205" s="165"/>
      <c r="S205" s="152"/>
      <c r="T205" s="165"/>
      <c r="W205" s="13"/>
      <c r="X205" s="175"/>
      <c r="Y205" s="175"/>
      <c r="Z205" s="175"/>
      <c r="AA205" s="175"/>
      <c r="AB205" s="175"/>
      <c r="AC205" s="175"/>
      <c r="AD205" s="175"/>
      <c r="AE205" s="175"/>
      <c r="AF205" s="175"/>
      <c r="AG205" s="175"/>
      <c r="AH205" s="175"/>
      <c r="AI205" s="175"/>
      <c r="AJ205" s="175"/>
      <c r="AK205" s="175"/>
      <c r="AL205" s="175"/>
      <c r="AM205" s="175"/>
      <c r="AN205" s="175"/>
      <c r="AO205" s="175"/>
      <c r="AP205" s="175"/>
      <c r="AQ205" s="175"/>
      <c r="AR205" s="175"/>
      <c r="AS205" s="175"/>
      <c r="AT205" s="175"/>
      <c r="AU205" s="175"/>
      <c r="AV205" s="175"/>
      <c r="AW205" s="175"/>
      <c r="AX205" s="175"/>
      <c r="AY205" s="175"/>
      <c r="AZ205" s="175"/>
      <c r="BA205" s="175"/>
      <c r="BB205" s="175"/>
      <c r="BC205" s="175"/>
      <c r="BD205" s="175"/>
      <c r="BE205" s="175"/>
      <c r="BF205" s="175"/>
      <c r="BG205" s="175"/>
      <c r="BH205" s="175"/>
      <c r="BI205" s="175"/>
      <c r="BJ205" s="175"/>
      <c r="BK205" s="175"/>
      <c r="BL205" s="175"/>
      <c r="BM205" s="175"/>
      <c r="BN205" s="175"/>
      <c r="BO205" s="175"/>
      <c r="BP205" s="175"/>
      <c r="BQ205" s="175"/>
      <c r="BR205" s="175"/>
      <c r="BS205" s="175"/>
      <c r="BT205" s="175"/>
      <c r="BU205" s="175"/>
      <c r="BV205" s="175"/>
      <c r="BW205" s="175"/>
      <c r="BX205" s="175"/>
      <c r="BY205" s="175"/>
      <c r="BZ205" s="175"/>
      <c r="CA205" s="175"/>
      <c r="CB205" s="175"/>
      <c r="CC205" s="175"/>
      <c r="CD205" s="175"/>
      <c r="CE205" s="175"/>
      <c r="CF205" s="175"/>
      <c r="CG205" s="175"/>
      <c r="CH205" s="175"/>
      <c r="CI205" s="175"/>
      <c r="CJ205" s="175"/>
      <c r="CK205" s="175"/>
      <c r="CL205" s="175"/>
      <c r="CM205" s="175"/>
      <c r="CN205" s="175"/>
      <c r="CO205" s="175"/>
      <c r="CP205" s="175"/>
      <c r="CQ205" s="175"/>
      <c r="CR205" s="175"/>
      <c r="CS205" s="176"/>
    </row>
    <row r="206" spans="2:97" s="40" customFormat="1" ht="48" customHeight="1">
      <c r="B206" s="13" t="s">
        <v>812</v>
      </c>
      <c r="D206" s="23">
        <f aca="true" t="shared" si="36" ref="D206:E208">F206+H206+J206+L206</f>
        <v>699.338</v>
      </c>
      <c r="E206" s="23">
        <f t="shared" si="36"/>
        <v>729.9200000000001</v>
      </c>
      <c r="F206" s="177"/>
      <c r="G206" s="6"/>
      <c r="H206" s="8"/>
      <c r="I206" s="23"/>
      <c r="J206" s="167">
        <f>588.994</f>
        <v>588.994</v>
      </c>
      <c r="K206" s="167">
        <f>588.994</f>
        <v>588.994</v>
      </c>
      <c r="L206" s="110">
        <v>110.344</v>
      </c>
      <c r="M206" s="110">
        <f>110.344+30.582</f>
        <v>140.926</v>
      </c>
      <c r="N206" s="23">
        <f>E206</f>
        <v>729.9200000000001</v>
      </c>
      <c r="O206" s="23"/>
      <c r="P206" s="165"/>
      <c r="Q206" s="165"/>
      <c r="R206" s="165"/>
      <c r="S206" s="205">
        <f>D206-E206</f>
        <v>-30.582000000000107</v>
      </c>
      <c r="T206" s="165"/>
      <c r="W206" s="8" t="s">
        <v>740</v>
      </c>
      <c r="X206" s="175"/>
      <c r="Y206" s="175"/>
      <c r="Z206" s="175"/>
      <c r="AA206" s="175"/>
      <c r="AB206" s="175"/>
      <c r="AC206" s="175"/>
      <c r="AD206" s="175"/>
      <c r="AE206" s="175"/>
      <c r="AF206" s="175"/>
      <c r="AG206" s="175"/>
      <c r="AH206" s="175"/>
      <c r="AI206" s="175"/>
      <c r="AJ206" s="175"/>
      <c r="AK206" s="175"/>
      <c r="AL206" s="175"/>
      <c r="AM206" s="175"/>
      <c r="AN206" s="175"/>
      <c r="AO206" s="175"/>
      <c r="AP206" s="175"/>
      <c r="AQ206" s="175"/>
      <c r="AR206" s="175"/>
      <c r="AS206" s="175"/>
      <c r="AT206" s="175"/>
      <c r="AU206" s="175"/>
      <c r="AV206" s="175"/>
      <c r="AW206" s="175"/>
      <c r="AX206" s="175"/>
      <c r="AY206" s="175"/>
      <c r="AZ206" s="175"/>
      <c r="BA206" s="175"/>
      <c r="BB206" s="175"/>
      <c r="BC206" s="175"/>
      <c r="BD206" s="175"/>
      <c r="BE206" s="175"/>
      <c r="BF206" s="175"/>
      <c r="BG206" s="175"/>
      <c r="BH206" s="175"/>
      <c r="BI206" s="175"/>
      <c r="BJ206" s="175"/>
      <c r="BK206" s="175"/>
      <c r="BL206" s="175"/>
      <c r="BM206" s="175"/>
      <c r="BN206" s="175"/>
      <c r="BO206" s="175"/>
      <c r="BP206" s="175"/>
      <c r="BQ206" s="175"/>
      <c r="BR206" s="175"/>
      <c r="BS206" s="175"/>
      <c r="BT206" s="175"/>
      <c r="BU206" s="175"/>
      <c r="BV206" s="175"/>
      <c r="BW206" s="175"/>
      <c r="BX206" s="175"/>
      <c r="BY206" s="175"/>
      <c r="BZ206" s="175"/>
      <c r="CA206" s="175"/>
      <c r="CB206" s="175"/>
      <c r="CC206" s="175"/>
      <c r="CD206" s="175"/>
      <c r="CE206" s="175"/>
      <c r="CF206" s="175"/>
      <c r="CG206" s="175"/>
      <c r="CH206" s="175"/>
      <c r="CI206" s="175"/>
      <c r="CJ206" s="175"/>
      <c r="CK206" s="175"/>
      <c r="CL206" s="175"/>
      <c r="CM206" s="175"/>
      <c r="CN206" s="175"/>
      <c r="CO206" s="175"/>
      <c r="CP206" s="175"/>
      <c r="CQ206" s="175"/>
      <c r="CR206" s="175"/>
      <c r="CS206" s="176"/>
    </row>
    <row r="207" spans="2:97" s="40" customFormat="1" ht="31.5" customHeight="1">
      <c r="B207" s="154" t="s">
        <v>813</v>
      </c>
      <c r="D207" s="23">
        <f t="shared" si="36"/>
        <v>276</v>
      </c>
      <c r="E207" s="23">
        <f t="shared" si="36"/>
        <v>394.304</v>
      </c>
      <c r="F207" s="177"/>
      <c r="G207" s="6"/>
      <c r="H207" s="8"/>
      <c r="I207" s="23"/>
      <c r="J207" s="167"/>
      <c r="K207" s="167"/>
      <c r="L207" s="110">
        <v>276</v>
      </c>
      <c r="M207" s="110">
        <f>70+252.659+71.645</f>
        <v>394.304</v>
      </c>
      <c r="N207" s="23">
        <f>E207</f>
        <v>394.304</v>
      </c>
      <c r="O207" s="23"/>
      <c r="P207" s="165"/>
      <c r="Q207" s="165"/>
      <c r="R207" s="165"/>
      <c r="S207" s="205"/>
      <c r="T207" s="165"/>
      <c r="W207" s="13"/>
      <c r="X207" s="175"/>
      <c r="Y207" s="175"/>
      <c r="Z207" s="175"/>
      <c r="AA207" s="175"/>
      <c r="AB207" s="175"/>
      <c r="AC207" s="175"/>
      <c r="AD207" s="175"/>
      <c r="AE207" s="175"/>
      <c r="AF207" s="175"/>
      <c r="AG207" s="175"/>
      <c r="AH207" s="175"/>
      <c r="AI207" s="175"/>
      <c r="AJ207" s="175"/>
      <c r="AK207" s="175"/>
      <c r="AL207" s="175"/>
      <c r="AM207" s="175"/>
      <c r="AN207" s="175"/>
      <c r="AO207" s="175"/>
      <c r="AP207" s="175"/>
      <c r="AQ207" s="175"/>
      <c r="AR207" s="175"/>
      <c r="AS207" s="175"/>
      <c r="AT207" s="175"/>
      <c r="AU207" s="175"/>
      <c r="AV207" s="175"/>
      <c r="AW207" s="175"/>
      <c r="AX207" s="175"/>
      <c r="AY207" s="175"/>
      <c r="AZ207" s="175"/>
      <c r="BA207" s="175"/>
      <c r="BB207" s="175"/>
      <c r="BC207" s="175"/>
      <c r="BD207" s="175"/>
      <c r="BE207" s="175"/>
      <c r="BF207" s="175"/>
      <c r="BG207" s="175"/>
      <c r="BH207" s="175"/>
      <c r="BI207" s="175"/>
      <c r="BJ207" s="175"/>
      <c r="BK207" s="175"/>
      <c r="BL207" s="175"/>
      <c r="BM207" s="175"/>
      <c r="BN207" s="175"/>
      <c r="BO207" s="175"/>
      <c r="BP207" s="175"/>
      <c r="BQ207" s="175"/>
      <c r="BR207" s="175"/>
      <c r="BS207" s="175"/>
      <c r="BT207" s="175"/>
      <c r="BU207" s="175"/>
      <c r="BV207" s="175"/>
      <c r="BW207" s="175"/>
      <c r="BX207" s="175"/>
      <c r="BY207" s="175"/>
      <c r="BZ207" s="175"/>
      <c r="CA207" s="175"/>
      <c r="CB207" s="175"/>
      <c r="CC207" s="175"/>
      <c r="CD207" s="175"/>
      <c r="CE207" s="175"/>
      <c r="CF207" s="175"/>
      <c r="CG207" s="175"/>
      <c r="CH207" s="175"/>
      <c r="CI207" s="175"/>
      <c r="CJ207" s="175"/>
      <c r="CK207" s="175"/>
      <c r="CL207" s="175"/>
      <c r="CM207" s="175"/>
      <c r="CN207" s="175"/>
      <c r="CO207" s="175"/>
      <c r="CP207" s="175"/>
      <c r="CQ207" s="175"/>
      <c r="CR207" s="175"/>
      <c r="CS207" s="176"/>
    </row>
    <row r="208" spans="1:96" s="151" customFormat="1" ht="45" customHeight="1">
      <c r="A208" s="145" t="s">
        <v>76</v>
      </c>
      <c r="B208" s="213" t="s">
        <v>174</v>
      </c>
      <c r="C208" s="214">
        <v>0</v>
      </c>
      <c r="D208" s="147">
        <f t="shared" si="36"/>
        <v>9016.961</v>
      </c>
      <c r="E208" s="147">
        <f t="shared" si="36"/>
        <v>9165.159</v>
      </c>
      <c r="F208" s="147">
        <v>3351.771</v>
      </c>
      <c r="G208" s="147">
        <v>3351.771</v>
      </c>
      <c r="H208" s="147">
        <v>1074.881</v>
      </c>
      <c r="I208" s="147">
        <v>1074.881</v>
      </c>
      <c r="J208" s="147">
        <v>1966.309</v>
      </c>
      <c r="K208" s="147">
        <v>1966.309</v>
      </c>
      <c r="L208" s="147">
        <v>2624</v>
      </c>
      <c r="M208" s="215">
        <v>2772.198</v>
      </c>
      <c r="N208" s="147">
        <f>E208</f>
        <v>9165.159</v>
      </c>
      <c r="O208" s="216"/>
      <c r="P208" s="170"/>
      <c r="Q208" s="170"/>
      <c r="R208" s="170"/>
      <c r="S208" s="170">
        <f>F208+H208-G208-I208</f>
        <v>0</v>
      </c>
      <c r="T208" s="170"/>
      <c r="U208" s="149"/>
      <c r="V208" s="217"/>
      <c r="W208" s="218"/>
      <c r="X208" s="150"/>
      <c r="Y208" s="150"/>
      <c r="Z208" s="150"/>
      <c r="AA208" s="150"/>
      <c r="AB208" s="150"/>
      <c r="AC208" s="150"/>
      <c r="AD208" s="150"/>
      <c r="AE208" s="150"/>
      <c r="AF208" s="150"/>
      <c r="AG208" s="150"/>
      <c r="AH208" s="150"/>
      <c r="AI208" s="150"/>
      <c r="AJ208" s="150"/>
      <c r="AK208" s="150"/>
      <c r="AL208" s="150"/>
      <c r="AM208" s="150"/>
      <c r="AN208" s="150"/>
      <c r="AO208" s="150"/>
      <c r="AP208" s="150"/>
      <c r="AQ208" s="150"/>
      <c r="AR208" s="150"/>
      <c r="AS208" s="150"/>
      <c r="AT208" s="150"/>
      <c r="AU208" s="150"/>
      <c r="AV208" s="150"/>
      <c r="AW208" s="150"/>
      <c r="AX208" s="150"/>
      <c r="AY208" s="150"/>
      <c r="AZ208" s="150"/>
      <c r="BA208" s="150"/>
      <c r="BB208" s="150"/>
      <c r="BC208" s="150"/>
      <c r="BD208" s="150"/>
      <c r="BE208" s="150"/>
      <c r="BF208" s="150"/>
      <c r="BG208" s="150"/>
      <c r="BH208" s="150"/>
      <c r="BI208" s="150"/>
      <c r="BJ208" s="150"/>
      <c r="BK208" s="150"/>
      <c r="BL208" s="150"/>
      <c r="BM208" s="150"/>
      <c r="BN208" s="150"/>
      <c r="BO208" s="150"/>
      <c r="BP208" s="150"/>
      <c r="BQ208" s="150"/>
      <c r="BR208" s="150"/>
      <c r="BS208" s="150"/>
      <c r="BT208" s="150"/>
      <c r="BU208" s="150"/>
      <c r="BV208" s="150"/>
      <c r="BW208" s="150"/>
      <c r="BX208" s="150"/>
      <c r="BY208" s="150"/>
      <c r="BZ208" s="150"/>
      <c r="CA208" s="150"/>
      <c r="CB208" s="150"/>
      <c r="CC208" s="150"/>
      <c r="CD208" s="150"/>
      <c r="CE208" s="150"/>
      <c r="CF208" s="150"/>
      <c r="CG208" s="150"/>
      <c r="CH208" s="150"/>
      <c r="CI208" s="150"/>
      <c r="CJ208" s="150"/>
      <c r="CK208" s="150"/>
      <c r="CL208" s="150"/>
      <c r="CM208" s="150"/>
      <c r="CN208" s="150"/>
      <c r="CO208" s="150"/>
      <c r="CP208" s="150"/>
      <c r="CQ208" s="150"/>
      <c r="CR208" s="150"/>
    </row>
    <row r="209" spans="1:23" ht="12.75" customHeight="1" hidden="1">
      <c r="A209" s="219"/>
      <c r="B209" s="13" t="s">
        <v>176</v>
      </c>
      <c r="C209" s="15"/>
      <c r="D209" s="8"/>
      <c r="E209" s="8"/>
      <c r="F209" s="8"/>
      <c r="G209" s="8"/>
      <c r="H209" s="8"/>
      <c r="I209" s="8"/>
      <c r="J209" s="8"/>
      <c r="K209" s="8"/>
      <c r="L209" s="8"/>
      <c r="M209" s="141"/>
      <c r="N209" s="8"/>
      <c r="O209" s="23"/>
      <c r="P209" s="152"/>
      <c r="Q209" s="152"/>
      <c r="R209" s="152"/>
      <c r="S209" s="153"/>
      <c r="T209" s="152"/>
      <c r="U209" s="10"/>
      <c r="V209" s="10"/>
      <c r="W209" s="10"/>
    </row>
    <row r="210" spans="1:23" ht="12.75" customHeight="1" hidden="1">
      <c r="A210" s="219"/>
      <c r="B210" s="13" t="s">
        <v>202</v>
      </c>
      <c r="C210" s="3"/>
      <c r="D210" s="8"/>
      <c r="E210" s="8"/>
      <c r="F210" s="8"/>
      <c r="G210" s="8"/>
      <c r="H210" s="8"/>
      <c r="I210" s="8"/>
      <c r="J210" s="8"/>
      <c r="K210" s="8"/>
      <c r="L210" s="8"/>
      <c r="M210" s="141"/>
      <c r="N210" s="8"/>
      <c r="O210" s="23"/>
      <c r="P210" s="152"/>
      <c r="Q210" s="152"/>
      <c r="R210" s="152"/>
      <c r="S210" s="153"/>
      <c r="T210" s="152"/>
      <c r="U210" s="10"/>
      <c r="V210" s="10"/>
      <c r="W210" s="10"/>
    </row>
    <row r="211" spans="3:97" s="40" customFormat="1" ht="16.5" customHeight="1">
      <c r="C211" s="3"/>
      <c r="D211" s="8"/>
      <c r="E211" s="8"/>
      <c r="F211" s="8"/>
      <c r="G211" s="8"/>
      <c r="H211" s="8"/>
      <c r="I211" s="8"/>
      <c r="J211" s="8"/>
      <c r="K211" s="3"/>
      <c r="L211" s="3"/>
      <c r="M211" s="164"/>
      <c r="N211" s="3"/>
      <c r="O211" s="24"/>
      <c r="P211" s="165"/>
      <c r="Q211" s="165"/>
      <c r="R211" s="165"/>
      <c r="S211" s="220"/>
      <c r="T211" s="165"/>
      <c r="X211" s="175"/>
      <c r="Y211" s="175"/>
      <c r="Z211" s="175"/>
      <c r="AA211" s="175"/>
      <c r="AB211" s="175"/>
      <c r="AC211" s="175"/>
      <c r="AD211" s="175"/>
      <c r="AE211" s="175"/>
      <c r="AF211" s="175"/>
      <c r="AG211" s="175"/>
      <c r="AH211" s="175"/>
      <c r="AI211" s="175"/>
      <c r="AJ211" s="175"/>
      <c r="AK211" s="175"/>
      <c r="AL211" s="175"/>
      <c r="AM211" s="175"/>
      <c r="AN211" s="175"/>
      <c r="AO211" s="175"/>
      <c r="AP211" s="175"/>
      <c r="AQ211" s="175"/>
      <c r="AR211" s="175"/>
      <c r="AS211" s="175"/>
      <c r="AT211" s="175"/>
      <c r="AU211" s="175"/>
      <c r="AV211" s="175"/>
      <c r="AW211" s="175"/>
      <c r="AX211" s="175"/>
      <c r="AY211" s="175"/>
      <c r="AZ211" s="175"/>
      <c r="BA211" s="175"/>
      <c r="BB211" s="175"/>
      <c r="BC211" s="175"/>
      <c r="BD211" s="175"/>
      <c r="BE211" s="175"/>
      <c r="BF211" s="175"/>
      <c r="BG211" s="175"/>
      <c r="BH211" s="175"/>
      <c r="BI211" s="175"/>
      <c r="BJ211" s="175"/>
      <c r="BK211" s="175"/>
      <c r="BL211" s="175"/>
      <c r="BM211" s="175"/>
      <c r="BN211" s="175"/>
      <c r="BO211" s="175"/>
      <c r="BP211" s="175"/>
      <c r="BQ211" s="175"/>
      <c r="BR211" s="175"/>
      <c r="BS211" s="175"/>
      <c r="BT211" s="175"/>
      <c r="BU211" s="175"/>
      <c r="BV211" s="175"/>
      <c r="BW211" s="175"/>
      <c r="BX211" s="175"/>
      <c r="BY211" s="175"/>
      <c r="BZ211" s="175"/>
      <c r="CA211" s="175"/>
      <c r="CB211" s="175"/>
      <c r="CC211" s="175"/>
      <c r="CD211" s="175"/>
      <c r="CE211" s="175"/>
      <c r="CF211" s="175"/>
      <c r="CG211" s="175"/>
      <c r="CH211" s="175"/>
      <c r="CI211" s="175"/>
      <c r="CJ211" s="175"/>
      <c r="CK211" s="175"/>
      <c r="CL211" s="175"/>
      <c r="CM211" s="175"/>
      <c r="CN211" s="175"/>
      <c r="CO211" s="175"/>
      <c r="CP211" s="175"/>
      <c r="CQ211" s="175"/>
      <c r="CR211" s="175"/>
      <c r="CS211" s="176"/>
    </row>
    <row r="212" spans="1:97" s="40" customFormat="1" ht="34.5" customHeight="1">
      <c r="A212" s="11" t="s">
        <v>213</v>
      </c>
      <c r="B212" s="11" t="s">
        <v>214</v>
      </c>
      <c r="C212" s="3"/>
      <c r="D212" s="24"/>
      <c r="E212" s="24"/>
      <c r="F212" s="3"/>
      <c r="G212" s="3"/>
      <c r="H212" s="163"/>
      <c r="I212" s="3"/>
      <c r="J212" s="3"/>
      <c r="K212" s="3"/>
      <c r="L212" s="3"/>
      <c r="M212" s="164"/>
      <c r="N212" s="3"/>
      <c r="O212" s="24"/>
      <c r="P212" s="165"/>
      <c r="Q212" s="165"/>
      <c r="R212" s="165"/>
      <c r="S212" s="220"/>
      <c r="T212" s="165"/>
      <c r="X212" s="175"/>
      <c r="Y212" s="175"/>
      <c r="Z212" s="175"/>
      <c r="AA212" s="175"/>
      <c r="AB212" s="175"/>
      <c r="AC212" s="175"/>
      <c r="AD212" s="175"/>
      <c r="AE212" s="175"/>
      <c r="AF212" s="175"/>
      <c r="AG212" s="175"/>
      <c r="AH212" s="175"/>
      <c r="AI212" s="175"/>
      <c r="AJ212" s="175"/>
      <c r="AK212" s="175"/>
      <c r="AL212" s="175"/>
      <c r="AM212" s="175"/>
      <c r="AN212" s="175"/>
      <c r="AO212" s="175"/>
      <c r="AP212" s="175"/>
      <c r="AQ212" s="175"/>
      <c r="AR212" s="175"/>
      <c r="AS212" s="175"/>
      <c r="AT212" s="175"/>
      <c r="AU212" s="175"/>
      <c r="AV212" s="175"/>
      <c r="AW212" s="175"/>
      <c r="AX212" s="175"/>
      <c r="AY212" s="175"/>
      <c r="AZ212" s="175"/>
      <c r="BA212" s="175"/>
      <c r="BB212" s="175"/>
      <c r="BC212" s="175"/>
      <c r="BD212" s="175"/>
      <c r="BE212" s="175"/>
      <c r="BF212" s="175"/>
      <c r="BG212" s="175"/>
      <c r="BH212" s="175"/>
      <c r="BI212" s="175"/>
      <c r="BJ212" s="175"/>
      <c r="BK212" s="175"/>
      <c r="BL212" s="175"/>
      <c r="BM212" s="175"/>
      <c r="BN212" s="175"/>
      <c r="BO212" s="175"/>
      <c r="BP212" s="175"/>
      <c r="BQ212" s="175"/>
      <c r="BR212" s="175"/>
      <c r="BS212" s="175"/>
      <c r="BT212" s="175"/>
      <c r="BU212" s="175"/>
      <c r="BV212" s="175"/>
      <c r="BW212" s="175"/>
      <c r="BX212" s="175"/>
      <c r="BY212" s="175"/>
      <c r="BZ212" s="175"/>
      <c r="CA212" s="175"/>
      <c r="CB212" s="175"/>
      <c r="CC212" s="175"/>
      <c r="CD212" s="175"/>
      <c r="CE212" s="175"/>
      <c r="CF212" s="175"/>
      <c r="CG212" s="175"/>
      <c r="CH212" s="175"/>
      <c r="CI212" s="175"/>
      <c r="CJ212" s="175"/>
      <c r="CK212" s="175"/>
      <c r="CL212" s="175"/>
      <c r="CM212" s="175"/>
      <c r="CN212" s="175"/>
      <c r="CO212" s="175"/>
      <c r="CP212" s="175"/>
      <c r="CQ212" s="175"/>
      <c r="CR212" s="175"/>
      <c r="CS212" s="176"/>
    </row>
    <row r="213" spans="1:96" s="223" customFormat="1" ht="87" customHeight="1">
      <c r="A213" s="11" t="s">
        <v>513</v>
      </c>
      <c r="B213" s="12" t="s">
        <v>814</v>
      </c>
      <c r="C213" s="4">
        <v>0</v>
      </c>
      <c r="D213" s="24">
        <f aca="true" t="shared" si="37" ref="D213:D223">F213+H213+J213+L213</f>
        <v>1201.304</v>
      </c>
      <c r="E213" s="24">
        <f aca="true" t="shared" si="38" ref="E213:E223">G213+I213+K213+M213</f>
        <v>1199.7600000000002</v>
      </c>
      <c r="F213" s="24">
        <f aca="true" t="shared" si="39" ref="F213:K213">F214</f>
        <v>420.448</v>
      </c>
      <c r="G213" s="24">
        <f t="shared" si="39"/>
        <v>381.568</v>
      </c>
      <c r="H213" s="24">
        <f t="shared" si="39"/>
        <v>300.32</v>
      </c>
      <c r="I213" s="24">
        <f t="shared" si="39"/>
        <v>248.788</v>
      </c>
      <c r="J213" s="24">
        <f t="shared" si="39"/>
        <v>240.256</v>
      </c>
      <c r="K213" s="24">
        <f t="shared" si="39"/>
        <v>290.545</v>
      </c>
      <c r="L213" s="24">
        <f>L214+L226</f>
        <v>240.28</v>
      </c>
      <c r="M213" s="24">
        <f>M214+M226</f>
        <v>278.85900000000004</v>
      </c>
      <c r="N213" s="24">
        <f>N214+N226</f>
        <v>1199.7600000000002</v>
      </c>
      <c r="O213" s="24"/>
      <c r="P213" s="24"/>
      <c r="Q213" s="24"/>
      <c r="R213" s="24"/>
      <c r="S213" s="24">
        <f>S214</f>
        <v>40.12299999999999</v>
      </c>
      <c r="T213" s="209"/>
      <c r="U213" s="221"/>
      <c r="V213" s="221"/>
      <c r="W213" s="8" t="s">
        <v>740</v>
      </c>
      <c r="X213" s="222"/>
      <c r="Y213" s="222"/>
      <c r="Z213" s="222"/>
      <c r="AA213" s="222"/>
      <c r="AB213" s="222"/>
      <c r="AC213" s="222"/>
      <c r="AD213" s="222"/>
      <c r="AE213" s="222"/>
      <c r="AF213" s="222"/>
      <c r="AG213" s="222"/>
      <c r="AH213" s="222"/>
      <c r="AI213" s="222"/>
      <c r="AJ213" s="222"/>
      <c r="AK213" s="222"/>
      <c r="AL213" s="222"/>
      <c r="AM213" s="222"/>
      <c r="AN213" s="222"/>
      <c r="AO213" s="222"/>
      <c r="AP213" s="222"/>
      <c r="AQ213" s="222"/>
      <c r="AR213" s="222"/>
      <c r="AS213" s="222"/>
      <c r="AT213" s="222"/>
      <c r="AU213" s="222"/>
      <c r="AV213" s="222"/>
      <c r="AW213" s="222"/>
      <c r="AX213" s="222"/>
      <c r="AY213" s="222"/>
      <c r="AZ213" s="222"/>
      <c r="BA213" s="222"/>
      <c r="BB213" s="222"/>
      <c r="BC213" s="222"/>
      <c r="BD213" s="222"/>
      <c r="BE213" s="222"/>
      <c r="BF213" s="222"/>
      <c r="BG213" s="222"/>
      <c r="BH213" s="222"/>
      <c r="BI213" s="222"/>
      <c r="BJ213" s="222"/>
      <c r="BK213" s="222"/>
      <c r="BL213" s="222"/>
      <c r="BM213" s="222"/>
      <c r="BN213" s="222"/>
      <c r="BO213" s="222"/>
      <c r="BP213" s="222"/>
      <c r="BQ213" s="222"/>
      <c r="BR213" s="222"/>
      <c r="BS213" s="222"/>
      <c r="BT213" s="222"/>
      <c r="BU213" s="222"/>
      <c r="BV213" s="222"/>
      <c r="BW213" s="222"/>
      <c r="BX213" s="222"/>
      <c r="BY213" s="222"/>
      <c r="BZ213" s="222"/>
      <c r="CA213" s="222"/>
      <c r="CB213" s="222"/>
      <c r="CC213" s="222"/>
      <c r="CD213" s="222"/>
      <c r="CE213" s="222"/>
      <c r="CF213" s="222"/>
      <c r="CG213" s="222"/>
      <c r="CH213" s="222"/>
      <c r="CI213" s="222"/>
      <c r="CJ213" s="222"/>
      <c r="CK213" s="222"/>
      <c r="CL213" s="222"/>
      <c r="CM213" s="222"/>
      <c r="CN213" s="222"/>
      <c r="CO213" s="222"/>
      <c r="CP213" s="222"/>
      <c r="CQ213" s="222"/>
      <c r="CR213" s="222"/>
    </row>
    <row r="214" spans="1:96" s="20" customFormat="1" ht="21" customHeight="1">
      <c r="A214" s="11"/>
      <c r="B214" s="171" t="s">
        <v>35</v>
      </c>
      <c r="C214" s="4"/>
      <c r="D214" s="24">
        <f t="shared" si="37"/>
        <v>961.024</v>
      </c>
      <c r="E214" s="24">
        <f t="shared" si="38"/>
        <v>1028.8310000000001</v>
      </c>
      <c r="F214" s="24">
        <f>F215+F216+F217+F218+F219+F220</f>
        <v>420.448</v>
      </c>
      <c r="G214" s="24">
        <f>G215+G216+G217+G218+G219+G220</f>
        <v>381.568</v>
      </c>
      <c r="H214" s="24">
        <f>H215+H216+H217+H218+H219+H220</f>
        <v>300.32</v>
      </c>
      <c r="I214" s="24">
        <f>I215+I216+I217+I218+I219+I220</f>
        <v>248.788</v>
      </c>
      <c r="J214" s="24">
        <f>J221+J222+J223</f>
        <v>240.256</v>
      </c>
      <c r="K214" s="24">
        <f>K221+K222+K223</f>
        <v>290.545</v>
      </c>
      <c r="L214" s="4">
        <f>L224+L225</f>
        <v>0</v>
      </c>
      <c r="M214" s="224">
        <f>M224+M225</f>
        <v>107.93</v>
      </c>
      <c r="N214" s="24">
        <f>N215+N216+N217+N218+N219+N220+N221+N222+N223+N224+N225</f>
        <v>1028.8310000000001</v>
      </c>
      <c r="O214" s="24"/>
      <c r="P214" s="208"/>
      <c r="Q214" s="208"/>
      <c r="R214" s="208"/>
      <c r="S214" s="24">
        <f>S215+S216+S217+S218+S219+S220+S221+S222+S223</f>
        <v>40.12299999999999</v>
      </c>
      <c r="T214" s="165"/>
      <c r="U214" s="19"/>
      <c r="V214" s="19"/>
      <c r="W214" s="3"/>
      <c r="X214" s="166"/>
      <c r="Y214" s="166"/>
      <c r="Z214" s="166"/>
      <c r="AA214" s="166"/>
      <c r="AB214" s="166"/>
      <c r="AC214" s="166"/>
      <c r="AD214" s="166"/>
      <c r="AE214" s="166"/>
      <c r="AF214" s="166"/>
      <c r="AG214" s="166"/>
      <c r="AH214" s="166"/>
      <c r="AI214" s="166"/>
      <c r="AJ214" s="166"/>
      <c r="AK214" s="166"/>
      <c r="AL214" s="166"/>
      <c r="AM214" s="166"/>
      <c r="AN214" s="166"/>
      <c r="AO214" s="166"/>
      <c r="AP214" s="166"/>
      <c r="AQ214" s="166"/>
      <c r="AR214" s="166"/>
      <c r="AS214" s="166"/>
      <c r="AT214" s="166"/>
      <c r="AU214" s="166"/>
      <c r="AV214" s="166"/>
      <c r="AW214" s="166"/>
      <c r="AX214" s="166"/>
      <c r="AY214" s="166"/>
      <c r="AZ214" s="166"/>
      <c r="BA214" s="166"/>
      <c r="BB214" s="166"/>
      <c r="BC214" s="166"/>
      <c r="BD214" s="166"/>
      <c r="BE214" s="166"/>
      <c r="BF214" s="166"/>
      <c r="BG214" s="166"/>
      <c r="BH214" s="166"/>
      <c r="BI214" s="166"/>
      <c r="BJ214" s="166"/>
      <c r="BK214" s="166"/>
      <c r="BL214" s="166"/>
      <c r="BM214" s="166"/>
      <c r="BN214" s="166"/>
      <c r="BO214" s="166"/>
      <c r="BP214" s="166"/>
      <c r="BQ214" s="166"/>
      <c r="BR214" s="166"/>
      <c r="BS214" s="166"/>
      <c r="BT214" s="166"/>
      <c r="BU214" s="166"/>
      <c r="BV214" s="166"/>
      <c r="BW214" s="166"/>
      <c r="BX214" s="166"/>
      <c r="BY214" s="166"/>
      <c r="BZ214" s="166"/>
      <c r="CA214" s="166"/>
      <c r="CB214" s="166"/>
      <c r="CC214" s="166"/>
      <c r="CD214" s="166"/>
      <c r="CE214" s="166"/>
      <c r="CF214" s="166"/>
      <c r="CG214" s="166"/>
      <c r="CH214" s="166"/>
      <c r="CI214" s="166"/>
      <c r="CJ214" s="166"/>
      <c r="CK214" s="166"/>
      <c r="CL214" s="166"/>
      <c r="CM214" s="166"/>
      <c r="CN214" s="166"/>
      <c r="CO214" s="166"/>
      <c r="CP214" s="166"/>
      <c r="CQ214" s="166"/>
      <c r="CR214" s="166"/>
    </row>
    <row r="215" spans="1:96" s="228" customFormat="1" ht="51.75" customHeight="1">
      <c r="A215" s="178"/>
      <c r="B215" s="13" t="s">
        <v>815</v>
      </c>
      <c r="C215" s="8"/>
      <c r="D215" s="23">
        <f t="shared" si="37"/>
        <v>60.064</v>
      </c>
      <c r="E215" s="23">
        <f t="shared" si="38"/>
        <v>60.461</v>
      </c>
      <c r="F215" s="34">
        <v>60.064</v>
      </c>
      <c r="G215" s="23">
        <v>60.461</v>
      </c>
      <c r="H215" s="34"/>
      <c r="I215" s="8"/>
      <c r="J215" s="8"/>
      <c r="K215" s="225"/>
      <c r="L215" s="225"/>
      <c r="M215" s="141"/>
      <c r="N215" s="23">
        <v>60.461</v>
      </c>
      <c r="O215" s="23"/>
      <c r="P215" s="209"/>
      <c r="Q215" s="209"/>
      <c r="R215" s="209"/>
      <c r="S215" s="153">
        <f>F215-G215</f>
        <v>-0.39699999999999847</v>
      </c>
      <c r="T215" s="209"/>
      <c r="U215" s="226"/>
      <c r="V215" s="226"/>
      <c r="W215" s="8" t="s">
        <v>740</v>
      </c>
      <c r="X215" s="227"/>
      <c r="Y215" s="227"/>
      <c r="Z215" s="227"/>
      <c r="AA215" s="227"/>
      <c r="AB215" s="227"/>
      <c r="AC215" s="227"/>
      <c r="AD215" s="227"/>
      <c r="AE215" s="227"/>
      <c r="AF215" s="227"/>
      <c r="AG215" s="227"/>
      <c r="AH215" s="227"/>
      <c r="AI215" s="227"/>
      <c r="AJ215" s="227"/>
      <c r="AK215" s="227"/>
      <c r="AL215" s="227"/>
      <c r="AM215" s="227"/>
      <c r="AN215" s="227"/>
      <c r="AO215" s="227"/>
      <c r="AP215" s="227"/>
      <c r="AQ215" s="227"/>
      <c r="AR215" s="227"/>
      <c r="AS215" s="227"/>
      <c r="AT215" s="227"/>
      <c r="AU215" s="227"/>
      <c r="AV215" s="227"/>
      <c r="AW215" s="227"/>
      <c r="AX215" s="227"/>
      <c r="AY215" s="227"/>
      <c r="AZ215" s="227"/>
      <c r="BA215" s="227"/>
      <c r="BB215" s="227"/>
      <c r="BC215" s="227"/>
      <c r="BD215" s="227"/>
      <c r="BE215" s="227"/>
      <c r="BF215" s="227"/>
      <c r="BG215" s="227"/>
      <c r="BH215" s="227"/>
      <c r="BI215" s="227"/>
      <c r="BJ215" s="227"/>
      <c r="BK215" s="227"/>
      <c r="BL215" s="227"/>
      <c r="BM215" s="227"/>
      <c r="BN215" s="227"/>
      <c r="BO215" s="227"/>
      <c r="BP215" s="227"/>
      <c r="BQ215" s="227"/>
      <c r="BR215" s="227"/>
      <c r="BS215" s="227"/>
      <c r="BT215" s="227"/>
      <c r="BU215" s="227"/>
      <c r="BV215" s="227"/>
      <c r="BW215" s="227"/>
      <c r="BX215" s="227"/>
      <c r="BY215" s="227"/>
      <c r="BZ215" s="227"/>
      <c r="CA215" s="227"/>
      <c r="CB215" s="227"/>
      <c r="CC215" s="227"/>
      <c r="CD215" s="227"/>
      <c r="CE215" s="227"/>
      <c r="CF215" s="227"/>
      <c r="CG215" s="227"/>
      <c r="CH215" s="227"/>
      <c r="CI215" s="227"/>
      <c r="CJ215" s="227"/>
      <c r="CK215" s="227"/>
      <c r="CL215" s="227"/>
      <c r="CM215" s="227"/>
      <c r="CN215" s="227"/>
      <c r="CO215" s="227"/>
      <c r="CP215" s="227"/>
      <c r="CQ215" s="227"/>
      <c r="CR215" s="227"/>
    </row>
    <row r="216" spans="1:96" s="228" customFormat="1" ht="54.75" customHeight="1">
      <c r="A216" s="178"/>
      <c r="B216" s="13" t="s">
        <v>816</v>
      </c>
      <c r="C216" s="8"/>
      <c r="D216" s="23">
        <f t="shared" si="37"/>
        <v>120.128</v>
      </c>
      <c r="E216" s="23">
        <f t="shared" si="38"/>
        <v>118.286</v>
      </c>
      <c r="F216" s="34">
        <v>120.128</v>
      </c>
      <c r="G216" s="23">
        <v>118.286</v>
      </c>
      <c r="H216" s="34"/>
      <c r="I216" s="8"/>
      <c r="J216" s="8"/>
      <c r="K216" s="225"/>
      <c r="L216" s="225"/>
      <c r="M216" s="141"/>
      <c r="N216" s="23">
        <v>118.286</v>
      </c>
      <c r="O216" s="23"/>
      <c r="P216" s="209"/>
      <c r="Q216" s="209"/>
      <c r="R216" s="209"/>
      <c r="S216" s="153">
        <f>F216-G216</f>
        <v>1.8419999999999987</v>
      </c>
      <c r="T216" s="209"/>
      <c r="U216" s="226"/>
      <c r="V216" s="226"/>
      <c r="W216" s="8" t="s">
        <v>740</v>
      </c>
      <c r="X216" s="227"/>
      <c r="Y216" s="227"/>
      <c r="Z216" s="227"/>
      <c r="AA216" s="227"/>
      <c r="AB216" s="227"/>
      <c r="AC216" s="227"/>
      <c r="AD216" s="227"/>
      <c r="AE216" s="227"/>
      <c r="AF216" s="227"/>
      <c r="AG216" s="227"/>
      <c r="AH216" s="227"/>
      <c r="AI216" s="227"/>
      <c r="AJ216" s="227"/>
      <c r="AK216" s="227"/>
      <c r="AL216" s="227"/>
      <c r="AM216" s="227"/>
      <c r="AN216" s="227"/>
      <c r="AO216" s="227"/>
      <c r="AP216" s="227"/>
      <c r="AQ216" s="227"/>
      <c r="AR216" s="227"/>
      <c r="AS216" s="227"/>
      <c r="AT216" s="227"/>
      <c r="AU216" s="227"/>
      <c r="AV216" s="227"/>
      <c r="AW216" s="227"/>
      <c r="AX216" s="227"/>
      <c r="AY216" s="227"/>
      <c r="AZ216" s="227"/>
      <c r="BA216" s="227"/>
      <c r="BB216" s="227"/>
      <c r="BC216" s="227"/>
      <c r="BD216" s="227"/>
      <c r="BE216" s="227"/>
      <c r="BF216" s="227"/>
      <c r="BG216" s="227"/>
      <c r="BH216" s="227"/>
      <c r="BI216" s="227"/>
      <c r="BJ216" s="227"/>
      <c r="BK216" s="227"/>
      <c r="BL216" s="227"/>
      <c r="BM216" s="227"/>
      <c r="BN216" s="227"/>
      <c r="BO216" s="227"/>
      <c r="BP216" s="227"/>
      <c r="BQ216" s="227"/>
      <c r="BR216" s="227"/>
      <c r="BS216" s="227"/>
      <c r="BT216" s="227"/>
      <c r="BU216" s="227"/>
      <c r="BV216" s="227"/>
      <c r="BW216" s="227"/>
      <c r="BX216" s="227"/>
      <c r="BY216" s="227"/>
      <c r="BZ216" s="227"/>
      <c r="CA216" s="227"/>
      <c r="CB216" s="227"/>
      <c r="CC216" s="227"/>
      <c r="CD216" s="227"/>
      <c r="CE216" s="227"/>
      <c r="CF216" s="227"/>
      <c r="CG216" s="227"/>
      <c r="CH216" s="227"/>
      <c r="CI216" s="227"/>
      <c r="CJ216" s="227"/>
      <c r="CK216" s="227"/>
      <c r="CL216" s="227"/>
      <c r="CM216" s="227"/>
      <c r="CN216" s="227"/>
      <c r="CO216" s="227"/>
      <c r="CP216" s="227"/>
      <c r="CQ216" s="227"/>
      <c r="CR216" s="227"/>
    </row>
    <row r="217" spans="1:96" s="228" customFormat="1" ht="51.75" customHeight="1">
      <c r="A217" s="178"/>
      <c r="B217" s="13" t="s">
        <v>817</v>
      </c>
      <c r="C217" s="8"/>
      <c r="D217" s="23">
        <f t="shared" si="37"/>
        <v>120.128</v>
      </c>
      <c r="E217" s="23">
        <f t="shared" si="38"/>
        <v>100.998</v>
      </c>
      <c r="F217" s="34">
        <v>120.128</v>
      </c>
      <c r="G217" s="23">
        <v>100.998</v>
      </c>
      <c r="H217" s="34"/>
      <c r="I217" s="8"/>
      <c r="J217" s="8"/>
      <c r="K217" s="225"/>
      <c r="L217" s="225"/>
      <c r="M217" s="141"/>
      <c r="N217" s="23">
        <v>100.998</v>
      </c>
      <c r="O217" s="23"/>
      <c r="P217" s="209"/>
      <c r="Q217" s="209"/>
      <c r="R217" s="209"/>
      <c r="S217" s="153">
        <f>F217-G217</f>
        <v>19.129999999999995</v>
      </c>
      <c r="T217" s="209"/>
      <c r="U217" s="226"/>
      <c r="V217" s="226"/>
      <c r="W217" s="8" t="s">
        <v>740</v>
      </c>
      <c r="X217" s="227"/>
      <c r="Y217" s="227"/>
      <c r="Z217" s="227"/>
      <c r="AA217" s="227"/>
      <c r="AB217" s="227"/>
      <c r="AC217" s="227"/>
      <c r="AD217" s="227"/>
      <c r="AE217" s="227"/>
      <c r="AF217" s="227"/>
      <c r="AG217" s="227"/>
      <c r="AH217" s="227"/>
      <c r="AI217" s="227"/>
      <c r="AJ217" s="227"/>
      <c r="AK217" s="227"/>
      <c r="AL217" s="227"/>
      <c r="AM217" s="227"/>
      <c r="AN217" s="227"/>
      <c r="AO217" s="227"/>
      <c r="AP217" s="227"/>
      <c r="AQ217" s="227"/>
      <c r="AR217" s="227"/>
      <c r="AS217" s="227"/>
      <c r="AT217" s="227"/>
      <c r="AU217" s="227"/>
      <c r="AV217" s="227"/>
      <c r="AW217" s="227"/>
      <c r="AX217" s="227"/>
      <c r="AY217" s="227"/>
      <c r="AZ217" s="227"/>
      <c r="BA217" s="227"/>
      <c r="BB217" s="227"/>
      <c r="BC217" s="227"/>
      <c r="BD217" s="227"/>
      <c r="BE217" s="227"/>
      <c r="BF217" s="227"/>
      <c r="BG217" s="227"/>
      <c r="BH217" s="227"/>
      <c r="BI217" s="227"/>
      <c r="BJ217" s="227"/>
      <c r="BK217" s="227"/>
      <c r="BL217" s="227"/>
      <c r="BM217" s="227"/>
      <c r="BN217" s="227"/>
      <c r="BO217" s="227"/>
      <c r="BP217" s="227"/>
      <c r="BQ217" s="227"/>
      <c r="BR217" s="227"/>
      <c r="BS217" s="227"/>
      <c r="BT217" s="227"/>
      <c r="BU217" s="227"/>
      <c r="BV217" s="227"/>
      <c r="BW217" s="227"/>
      <c r="BX217" s="227"/>
      <c r="BY217" s="227"/>
      <c r="BZ217" s="227"/>
      <c r="CA217" s="227"/>
      <c r="CB217" s="227"/>
      <c r="CC217" s="227"/>
      <c r="CD217" s="227"/>
      <c r="CE217" s="227"/>
      <c r="CF217" s="227"/>
      <c r="CG217" s="227"/>
      <c r="CH217" s="227"/>
      <c r="CI217" s="227"/>
      <c r="CJ217" s="227"/>
      <c r="CK217" s="227"/>
      <c r="CL217" s="227"/>
      <c r="CM217" s="227"/>
      <c r="CN217" s="227"/>
      <c r="CO217" s="227"/>
      <c r="CP217" s="227"/>
      <c r="CQ217" s="227"/>
      <c r="CR217" s="227"/>
    </row>
    <row r="218" spans="1:96" s="228" customFormat="1" ht="51.75" customHeight="1">
      <c r="A218" s="178"/>
      <c r="B218" s="13" t="s">
        <v>818</v>
      </c>
      <c r="C218" s="8"/>
      <c r="D218" s="23">
        <f t="shared" si="37"/>
        <v>120.128</v>
      </c>
      <c r="E218" s="23">
        <f t="shared" si="38"/>
        <v>101.823</v>
      </c>
      <c r="F218" s="34">
        <v>120.128</v>
      </c>
      <c r="G218" s="23">
        <v>101.823</v>
      </c>
      <c r="H218" s="34"/>
      <c r="I218" s="8"/>
      <c r="J218" s="8"/>
      <c r="K218" s="225"/>
      <c r="L218" s="225"/>
      <c r="M218" s="141"/>
      <c r="N218" s="23">
        <v>101.823</v>
      </c>
      <c r="O218" s="23"/>
      <c r="P218" s="209"/>
      <c r="Q218" s="209"/>
      <c r="R218" s="209"/>
      <c r="S218" s="153">
        <f>F218-G218</f>
        <v>18.305000000000007</v>
      </c>
      <c r="T218" s="209"/>
      <c r="U218" s="226"/>
      <c r="V218" s="226"/>
      <c r="W218" s="8" t="s">
        <v>740</v>
      </c>
      <c r="X218" s="227"/>
      <c r="Y218" s="227"/>
      <c r="Z218" s="227"/>
      <c r="AA218" s="227"/>
      <c r="AB218" s="227"/>
      <c r="AC218" s="227"/>
      <c r="AD218" s="227"/>
      <c r="AE218" s="227"/>
      <c r="AF218" s="227"/>
      <c r="AG218" s="227"/>
      <c r="AH218" s="227"/>
      <c r="AI218" s="227"/>
      <c r="AJ218" s="227"/>
      <c r="AK218" s="227"/>
      <c r="AL218" s="227"/>
      <c r="AM218" s="227"/>
      <c r="AN218" s="227"/>
      <c r="AO218" s="227"/>
      <c r="AP218" s="227"/>
      <c r="AQ218" s="227"/>
      <c r="AR218" s="227"/>
      <c r="AS218" s="227"/>
      <c r="AT218" s="227"/>
      <c r="AU218" s="227"/>
      <c r="AV218" s="227"/>
      <c r="AW218" s="227"/>
      <c r="AX218" s="227"/>
      <c r="AY218" s="227"/>
      <c r="AZ218" s="227"/>
      <c r="BA218" s="227"/>
      <c r="BB218" s="227"/>
      <c r="BC218" s="227"/>
      <c r="BD218" s="227"/>
      <c r="BE218" s="227"/>
      <c r="BF218" s="227"/>
      <c r="BG218" s="227"/>
      <c r="BH218" s="227"/>
      <c r="BI218" s="227"/>
      <c r="BJ218" s="227"/>
      <c r="BK218" s="227"/>
      <c r="BL218" s="227"/>
      <c r="BM218" s="227"/>
      <c r="BN218" s="227"/>
      <c r="BO218" s="227"/>
      <c r="BP218" s="227"/>
      <c r="BQ218" s="227"/>
      <c r="BR218" s="227"/>
      <c r="BS218" s="227"/>
      <c r="BT218" s="227"/>
      <c r="BU218" s="227"/>
      <c r="BV218" s="227"/>
      <c r="BW218" s="227"/>
      <c r="BX218" s="227"/>
      <c r="BY218" s="227"/>
      <c r="BZ218" s="227"/>
      <c r="CA218" s="227"/>
      <c r="CB218" s="227"/>
      <c r="CC218" s="227"/>
      <c r="CD218" s="227"/>
      <c r="CE218" s="227"/>
      <c r="CF218" s="227"/>
      <c r="CG218" s="227"/>
      <c r="CH218" s="227"/>
      <c r="CI218" s="227"/>
      <c r="CJ218" s="227"/>
      <c r="CK218" s="227"/>
      <c r="CL218" s="227"/>
      <c r="CM218" s="227"/>
      <c r="CN218" s="227"/>
      <c r="CO218" s="227"/>
      <c r="CP218" s="227"/>
      <c r="CQ218" s="227"/>
      <c r="CR218" s="227"/>
    </row>
    <row r="219" spans="1:96" s="228" customFormat="1" ht="54.75" customHeight="1">
      <c r="A219" s="178"/>
      <c r="B219" s="13" t="s">
        <v>819</v>
      </c>
      <c r="C219" s="8"/>
      <c r="D219" s="23">
        <f t="shared" si="37"/>
        <v>180.192</v>
      </c>
      <c r="E219" s="23">
        <f t="shared" si="38"/>
        <v>149.488</v>
      </c>
      <c r="F219" s="23"/>
      <c r="G219" s="23"/>
      <c r="H219" s="34">
        <v>180.192</v>
      </c>
      <c r="I219" s="23">
        <v>149.488</v>
      </c>
      <c r="J219" s="8"/>
      <c r="K219" s="225"/>
      <c r="L219" s="225"/>
      <c r="M219" s="141"/>
      <c r="N219" s="23">
        <v>149.488</v>
      </c>
      <c r="O219" s="23"/>
      <c r="P219" s="209"/>
      <c r="Q219" s="209"/>
      <c r="R219" s="209"/>
      <c r="S219" s="152">
        <f>H219-I219</f>
        <v>30.704000000000008</v>
      </c>
      <c r="T219" s="209"/>
      <c r="U219" s="226"/>
      <c r="V219" s="226"/>
      <c r="W219" s="8" t="s">
        <v>740</v>
      </c>
      <c r="X219" s="227"/>
      <c r="Y219" s="227"/>
      <c r="Z219" s="227"/>
      <c r="AA219" s="227"/>
      <c r="AB219" s="227"/>
      <c r="AC219" s="227"/>
      <c r="AD219" s="227"/>
      <c r="AE219" s="227"/>
      <c r="AF219" s="227"/>
      <c r="AG219" s="227"/>
      <c r="AH219" s="227"/>
      <c r="AI219" s="227"/>
      <c r="AJ219" s="227"/>
      <c r="AK219" s="227"/>
      <c r="AL219" s="227"/>
      <c r="AM219" s="227"/>
      <c r="AN219" s="227"/>
      <c r="AO219" s="227"/>
      <c r="AP219" s="227"/>
      <c r="AQ219" s="227"/>
      <c r="AR219" s="227"/>
      <c r="AS219" s="227"/>
      <c r="AT219" s="227"/>
      <c r="AU219" s="227"/>
      <c r="AV219" s="227"/>
      <c r="AW219" s="227"/>
      <c r="AX219" s="227"/>
      <c r="AY219" s="227"/>
      <c r="AZ219" s="227"/>
      <c r="BA219" s="227"/>
      <c r="BB219" s="227"/>
      <c r="BC219" s="227"/>
      <c r="BD219" s="227"/>
      <c r="BE219" s="227"/>
      <c r="BF219" s="227"/>
      <c r="BG219" s="227"/>
      <c r="BH219" s="227"/>
      <c r="BI219" s="227"/>
      <c r="BJ219" s="227"/>
      <c r="BK219" s="227"/>
      <c r="BL219" s="227"/>
      <c r="BM219" s="227"/>
      <c r="BN219" s="227"/>
      <c r="BO219" s="227"/>
      <c r="BP219" s="227"/>
      <c r="BQ219" s="227"/>
      <c r="BR219" s="227"/>
      <c r="BS219" s="227"/>
      <c r="BT219" s="227"/>
      <c r="BU219" s="227"/>
      <c r="BV219" s="227"/>
      <c r="BW219" s="227"/>
      <c r="BX219" s="227"/>
      <c r="BY219" s="227"/>
      <c r="BZ219" s="227"/>
      <c r="CA219" s="227"/>
      <c r="CB219" s="227"/>
      <c r="CC219" s="227"/>
      <c r="CD219" s="227"/>
      <c r="CE219" s="227"/>
      <c r="CF219" s="227"/>
      <c r="CG219" s="227"/>
      <c r="CH219" s="227"/>
      <c r="CI219" s="227"/>
      <c r="CJ219" s="227"/>
      <c r="CK219" s="227"/>
      <c r="CL219" s="227"/>
      <c r="CM219" s="227"/>
      <c r="CN219" s="227"/>
      <c r="CO219" s="227"/>
      <c r="CP219" s="227"/>
      <c r="CQ219" s="227"/>
      <c r="CR219" s="227"/>
    </row>
    <row r="220" spans="1:96" s="228" customFormat="1" ht="60" customHeight="1">
      <c r="A220" s="178"/>
      <c r="B220" s="13" t="s">
        <v>820</v>
      </c>
      <c r="C220" s="8"/>
      <c r="D220" s="23">
        <f t="shared" si="37"/>
        <v>120.128</v>
      </c>
      <c r="E220" s="23">
        <f t="shared" si="38"/>
        <v>99.3</v>
      </c>
      <c r="F220" s="23"/>
      <c r="G220" s="23"/>
      <c r="H220" s="34">
        <v>120.128</v>
      </c>
      <c r="I220" s="23">
        <v>99.3</v>
      </c>
      <c r="J220" s="8"/>
      <c r="K220" s="225"/>
      <c r="L220" s="225"/>
      <c r="M220" s="141"/>
      <c r="N220" s="23">
        <v>99.3</v>
      </c>
      <c r="O220" s="23"/>
      <c r="P220" s="209"/>
      <c r="Q220" s="209"/>
      <c r="R220" s="209"/>
      <c r="S220" s="152">
        <f>H220-I220</f>
        <v>20.828000000000003</v>
      </c>
      <c r="T220" s="209"/>
      <c r="U220" s="226"/>
      <c r="V220" s="226"/>
      <c r="W220" s="8" t="s">
        <v>740</v>
      </c>
      <c r="X220" s="227"/>
      <c r="Y220" s="227"/>
      <c r="Z220" s="227"/>
      <c r="AA220" s="227"/>
      <c r="AB220" s="227"/>
      <c r="AC220" s="227"/>
      <c r="AD220" s="227"/>
      <c r="AE220" s="227"/>
      <c r="AF220" s="227"/>
      <c r="AG220" s="227"/>
      <c r="AH220" s="227"/>
      <c r="AI220" s="227"/>
      <c r="AJ220" s="227"/>
      <c r="AK220" s="227"/>
      <c r="AL220" s="227"/>
      <c r="AM220" s="227"/>
      <c r="AN220" s="227"/>
      <c r="AO220" s="227"/>
      <c r="AP220" s="227"/>
      <c r="AQ220" s="227"/>
      <c r="AR220" s="227"/>
      <c r="AS220" s="227"/>
      <c r="AT220" s="227"/>
      <c r="AU220" s="227"/>
      <c r="AV220" s="227"/>
      <c r="AW220" s="227"/>
      <c r="AX220" s="227"/>
      <c r="AY220" s="227"/>
      <c r="AZ220" s="227"/>
      <c r="BA220" s="227"/>
      <c r="BB220" s="227"/>
      <c r="BC220" s="227"/>
      <c r="BD220" s="227"/>
      <c r="BE220" s="227"/>
      <c r="BF220" s="227"/>
      <c r="BG220" s="227"/>
      <c r="BH220" s="227"/>
      <c r="BI220" s="227"/>
      <c r="BJ220" s="227"/>
      <c r="BK220" s="227"/>
      <c r="BL220" s="227"/>
      <c r="BM220" s="227"/>
      <c r="BN220" s="227"/>
      <c r="BO220" s="227"/>
      <c r="BP220" s="227"/>
      <c r="BQ220" s="227"/>
      <c r="BR220" s="227"/>
      <c r="BS220" s="227"/>
      <c r="BT220" s="227"/>
      <c r="BU220" s="227"/>
      <c r="BV220" s="227"/>
      <c r="BW220" s="227"/>
      <c r="BX220" s="227"/>
      <c r="BY220" s="227"/>
      <c r="BZ220" s="227"/>
      <c r="CA220" s="227"/>
      <c r="CB220" s="227"/>
      <c r="CC220" s="227"/>
      <c r="CD220" s="227"/>
      <c r="CE220" s="227"/>
      <c r="CF220" s="227"/>
      <c r="CG220" s="227"/>
      <c r="CH220" s="227"/>
      <c r="CI220" s="227"/>
      <c r="CJ220" s="227"/>
      <c r="CK220" s="227"/>
      <c r="CL220" s="227"/>
      <c r="CM220" s="227"/>
      <c r="CN220" s="227"/>
      <c r="CO220" s="227"/>
      <c r="CP220" s="227"/>
      <c r="CQ220" s="227"/>
      <c r="CR220" s="227"/>
    </row>
    <row r="221" spans="1:96" s="228" customFormat="1" ht="60" customHeight="1">
      <c r="A221" s="178"/>
      <c r="B221" s="13" t="s">
        <v>821</v>
      </c>
      <c r="C221" s="8"/>
      <c r="D221" s="23">
        <f t="shared" si="37"/>
        <v>120.128</v>
      </c>
      <c r="E221" s="23">
        <f t="shared" si="38"/>
        <v>94.01</v>
      </c>
      <c r="F221" s="23"/>
      <c r="G221" s="23"/>
      <c r="H221" s="34"/>
      <c r="I221" s="23"/>
      <c r="J221" s="34">
        <v>120.128</v>
      </c>
      <c r="K221" s="23">
        <v>94.01</v>
      </c>
      <c r="L221" s="225"/>
      <c r="M221" s="141"/>
      <c r="N221" s="23">
        <v>94.01</v>
      </c>
      <c r="O221" s="23"/>
      <c r="P221" s="209"/>
      <c r="Q221" s="209"/>
      <c r="R221" s="209"/>
      <c r="S221" s="152">
        <f>J221-K221</f>
        <v>26.117999999999995</v>
      </c>
      <c r="T221" s="209"/>
      <c r="U221" s="226"/>
      <c r="V221" s="226"/>
      <c r="W221" s="8" t="s">
        <v>740</v>
      </c>
      <c r="X221" s="227"/>
      <c r="Y221" s="227"/>
      <c r="Z221" s="227"/>
      <c r="AA221" s="227"/>
      <c r="AB221" s="227"/>
      <c r="AC221" s="227"/>
      <c r="AD221" s="227"/>
      <c r="AE221" s="227"/>
      <c r="AF221" s="227"/>
      <c r="AG221" s="227"/>
      <c r="AH221" s="227"/>
      <c r="AI221" s="227"/>
      <c r="AJ221" s="227"/>
      <c r="AK221" s="227"/>
      <c r="AL221" s="227"/>
      <c r="AM221" s="227"/>
      <c r="AN221" s="227"/>
      <c r="AO221" s="227"/>
      <c r="AP221" s="227"/>
      <c r="AQ221" s="227"/>
      <c r="AR221" s="227"/>
      <c r="AS221" s="227"/>
      <c r="AT221" s="227"/>
      <c r="AU221" s="227"/>
      <c r="AV221" s="227"/>
      <c r="AW221" s="227"/>
      <c r="AX221" s="227"/>
      <c r="AY221" s="227"/>
      <c r="AZ221" s="227"/>
      <c r="BA221" s="227"/>
      <c r="BB221" s="227"/>
      <c r="BC221" s="227"/>
      <c r="BD221" s="227"/>
      <c r="BE221" s="227"/>
      <c r="BF221" s="227"/>
      <c r="BG221" s="227"/>
      <c r="BH221" s="227"/>
      <c r="BI221" s="227"/>
      <c r="BJ221" s="227"/>
      <c r="BK221" s="227"/>
      <c r="BL221" s="227"/>
      <c r="BM221" s="227"/>
      <c r="BN221" s="227"/>
      <c r="BO221" s="227"/>
      <c r="BP221" s="227"/>
      <c r="BQ221" s="227"/>
      <c r="BR221" s="227"/>
      <c r="BS221" s="227"/>
      <c r="BT221" s="227"/>
      <c r="BU221" s="227"/>
      <c r="BV221" s="227"/>
      <c r="BW221" s="227"/>
      <c r="BX221" s="227"/>
      <c r="BY221" s="227"/>
      <c r="BZ221" s="227"/>
      <c r="CA221" s="227"/>
      <c r="CB221" s="227"/>
      <c r="CC221" s="227"/>
      <c r="CD221" s="227"/>
      <c r="CE221" s="227"/>
      <c r="CF221" s="227"/>
      <c r="CG221" s="227"/>
      <c r="CH221" s="227"/>
      <c r="CI221" s="227"/>
      <c r="CJ221" s="227"/>
      <c r="CK221" s="227"/>
      <c r="CL221" s="227"/>
      <c r="CM221" s="227"/>
      <c r="CN221" s="227"/>
      <c r="CO221" s="227"/>
      <c r="CP221" s="227"/>
      <c r="CQ221" s="227"/>
      <c r="CR221" s="227"/>
    </row>
    <row r="222" spans="1:96" s="228" customFormat="1" ht="60" customHeight="1">
      <c r="A222" s="178"/>
      <c r="B222" s="13" t="s">
        <v>822</v>
      </c>
      <c r="C222" s="8"/>
      <c r="D222" s="23">
        <f t="shared" si="37"/>
        <v>0</v>
      </c>
      <c r="E222" s="23">
        <f t="shared" si="38"/>
        <v>97.754</v>
      </c>
      <c r="F222" s="23"/>
      <c r="G222" s="23"/>
      <c r="H222" s="34"/>
      <c r="I222" s="23"/>
      <c r="J222" s="8">
        <v>0</v>
      </c>
      <c r="K222" s="23">
        <v>97.754</v>
      </c>
      <c r="L222" s="225"/>
      <c r="M222" s="141"/>
      <c r="N222" s="23">
        <v>97.754</v>
      </c>
      <c r="O222" s="23"/>
      <c r="P222" s="209"/>
      <c r="Q222" s="209"/>
      <c r="R222" s="209"/>
      <c r="S222" s="152">
        <f>J222-K222</f>
        <v>-97.754</v>
      </c>
      <c r="T222" s="209"/>
      <c r="U222" s="226"/>
      <c r="V222" s="226"/>
      <c r="W222" s="8" t="s">
        <v>723</v>
      </c>
      <c r="X222" s="227"/>
      <c r="Y222" s="227"/>
      <c r="Z222" s="227"/>
      <c r="AA222" s="227"/>
      <c r="AB222" s="227"/>
      <c r="AC222" s="227"/>
      <c r="AD222" s="227"/>
      <c r="AE222" s="227"/>
      <c r="AF222" s="227"/>
      <c r="AG222" s="227"/>
      <c r="AH222" s="227"/>
      <c r="AI222" s="227"/>
      <c r="AJ222" s="227"/>
      <c r="AK222" s="227"/>
      <c r="AL222" s="227"/>
      <c r="AM222" s="227"/>
      <c r="AN222" s="227"/>
      <c r="AO222" s="227"/>
      <c r="AP222" s="227"/>
      <c r="AQ222" s="227"/>
      <c r="AR222" s="227"/>
      <c r="AS222" s="227"/>
      <c r="AT222" s="227"/>
      <c r="AU222" s="227"/>
      <c r="AV222" s="227"/>
      <c r="AW222" s="227"/>
      <c r="AX222" s="227"/>
      <c r="AY222" s="227"/>
      <c r="AZ222" s="227"/>
      <c r="BA222" s="227"/>
      <c r="BB222" s="227"/>
      <c r="BC222" s="227"/>
      <c r="BD222" s="227"/>
      <c r="BE222" s="227"/>
      <c r="BF222" s="227"/>
      <c r="BG222" s="227"/>
      <c r="BH222" s="227"/>
      <c r="BI222" s="227"/>
      <c r="BJ222" s="227"/>
      <c r="BK222" s="227"/>
      <c r="BL222" s="227"/>
      <c r="BM222" s="227"/>
      <c r="BN222" s="227"/>
      <c r="BO222" s="227"/>
      <c r="BP222" s="227"/>
      <c r="BQ222" s="227"/>
      <c r="BR222" s="227"/>
      <c r="BS222" s="227"/>
      <c r="BT222" s="227"/>
      <c r="BU222" s="227"/>
      <c r="BV222" s="227"/>
      <c r="BW222" s="227"/>
      <c r="BX222" s="227"/>
      <c r="BY222" s="227"/>
      <c r="BZ222" s="227"/>
      <c r="CA222" s="227"/>
      <c r="CB222" s="227"/>
      <c r="CC222" s="227"/>
      <c r="CD222" s="227"/>
      <c r="CE222" s="227"/>
      <c r="CF222" s="227"/>
      <c r="CG222" s="227"/>
      <c r="CH222" s="227"/>
      <c r="CI222" s="227"/>
      <c r="CJ222" s="227"/>
      <c r="CK222" s="227"/>
      <c r="CL222" s="227"/>
      <c r="CM222" s="227"/>
      <c r="CN222" s="227"/>
      <c r="CO222" s="227"/>
      <c r="CP222" s="227"/>
      <c r="CQ222" s="227"/>
      <c r="CR222" s="227"/>
    </row>
    <row r="223" spans="1:96" s="228" customFormat="1" ht="60" customHeight="1">
      <c r="A223" s="178"/>
      <c r="B223" s="13" t="s">
        <v>823</v>
      </c>
      <c r="C223" s="8"/>
      <c r="D223" s="23">
        <f t="shared" si="37"/>
        <v>120.128</v>
      </c>
      <c r="E223" s="23">
        <f t="shared" si="38"/>
        <v>98.781</v>
      </c>
      <c r="F223" s="23"/>
      <c r="G223" s="23"/>
      <c r="H223" s="34"/>
      <c r="I223" s="23"/>
      <c r="J223" s="34">
        <v>120.128</v>
      </c>
      <c r="K223" s="23">
        <v>98.781</v>
      </c>
      <c r="L223" s="225"/>
      <c r="M223" s="141"/>
      <c r="N223" s="23">
        <v>98.781</v>
      </c>
      <c r="O223" s="23"/>
      <c r="P223" s="209"/>
      <c r="Q223" s="209"/>
      <c r="R223" s="209"/>
      <c r="S223" s="152">
        <f>J223-K223</f>
        <v>21.346999999999994</v>
      </c>
      <c r="T223" s="209"/>
      <c r="U223" s="226"/>
      <c r="V223" s="226"/>
      <c r="W223" s="8" t="s">
        <v>740</v>
      </c>
      <c r="X223" s="227"/>
      <c r="Y223" s="227"/>
      <c r="Z223" s="227"/>
      <c r="AA223" s="227"/>
      <c r="AB223" s="227"/>
      <c r="AC223" s="227"/>
      <c r="AD223" s="227"/>
      <c r="AE223" s="227"/>
      <c r="AF223" s="227"/>
      <c r="AG223" s="227"/>
      <c r="AH223" s="227"/>
      <c r="AI223" s="227"/>
      <c r="AJ223" s="227"/>
      <c r="AK223" s="227"/>
      <c r="AL223" s="227"/>
      <c r="AM223" s="227"/>
      <c r="AN223" s="227"/>
      <c r="AO223" s="227"/>
      <c r="AP223" s="227"/>
      <c r="AQ223" s="227"/>
      <c r="AR223" s="227"/>
      <c r="AS223" s="227"/>
      <c r="AT223" s="227"/>
      <c r="AU223" s="227"/>
      <c r="AV223" s="227"/>
      <c r="AW223" s="227"/>
      <c r="AX223" s="227"/>
      <c r="AY223" s="227"/>
      <c r="AZ223" s="227"/>
      <c r="BA223" s="227"/>
      <c r="BB223" s="227"/>
      <c r="BC223" s="227"/>
      <c r="BD223" s="227"/>
      <c r="BE223" s="227"/>
      <c r="BF223" s="227"/>
      <c r="BG223" s="227"/>
      <c r="BH223" s="227"/>
      <c r="BI223" s="227"/>
      <c r="BJ223" s="227"/>
      <c r="BK223" s="227"/>
      <c r="BL223" s="227"/>
      <c r="BM223" s="227"/>
      <c r="BN223" s="227"/>
      <c r="BO223" s="227"/>
      <c r="BP223" s="227"/>
      <c r="BQ223" s="227"/>
      <c r="BR223" s="227"/>
      <c r="BS223" s="227"/>
      <c r="BT223" s="227"/>
      <c r="BU223" s="227"/>
      <c r="BV223" s="227"/>
      <c r="BW223" s="227"/>
      <c r="BX223" s="227"/>
      <c r="BY223" s="227"/>
      <c r="BZ223" s="227"/>
      <c r="CA223" s="227"/>
      <c r="CB223" s="227"/>
      <c r="CC223" s="227"/>
      <c r="CD223" s="227"/>
      <c r="CE223" s="227"/>
      <c r="CF223" s="227"/>
      <c r="CG223" s="227"/>
      <c r="CH223" s="227"/>
      <c r="CI223" s="227"/>
      <c r="CJ223" s="227"/>
      <c r="CK223" s="227"/>
      <c r="CL223" s="227"/>
      <c r="CM223" s="227"/>
      <c r="CN223" s="227"/>
      <c r="CO223" s="227"/>
      <c r="CP223" s="227"/>
      <c r="CQ223" s="227"/>
      <c r="CR223" s="227"/>
    </row>
    <row r="224" spans="1:96" s="228" customFormat="1" ht="60" customHeight="1">
      <c r="A224" s="178"/>
      <c r="B224" s="13" t="s">
        <v>824</v>
      </c>
      <c r="C224" s="8"/>
      <c r="D224" s="34">
        <v>0</v>
      </c>
      <c r="E224" s="23">
        <f>G224+I224+K224+M224</f>
        <v>53.965</v>
      </c>
      <c r="F224" s="23"/>
      <c r="G224" s="23"/>
      <c r="H224" s="34"/>
      <c r="I224" s="23"/>
      <c r="J224" s="34"/>
      <c r="K224" s="23"/>
      <c r="L224" s="225">
        <v>0</v>
      </c>
      <c r="M224" s="141">
        <v>53.965</v>
      </c>
      <c r="N224" s="23">
        <v>53.965</v>
      </c>
      <c r="O224" s="23"/>
      <c r="P224" s="209"/>
      <c r="Q224" s="209"/>
      <c r="R224" s="209"/>
      <c r="S224" s="152">
        <f>L224-M224</f>
        <v>-53.965</v>
      </c>
      <c r="T224" s="209"/>
      <c r="U224" s="226"/>
      <c r="V224" s="226"/>
      <c r="W224" s="8" t="s">
        <v>723</v>
      </c>
      <c r="X224" s="227"/>
      <c r="Y224" s="227"/>
      <c r="Z224" s="227"/>
      <c r="AA224" s="227"/>
      <c r="AB224" s="227"/>
      <c r="AC224" s="227"/>
      <c r="AD224" s="227"/>
      <c r="AE224" s="227"/>
      <c r="AF224" s="227"/>
      <c r="AG224" s="227"/>
      <c r="AH224" s="227"/>
      <c r="AI224" s="227"/>
      <c r="AJ224" s="227"/>
      <c r="AK224" s="227"/>
      <c r="AL224" s="227"/>
      <c r="AM224" s="227"/>
      <c r="AN224" s="227"/>
      <c r="AO224" s="227"/>
      <c r="AP224" s="227"/>
      <c r="AQ224" s="227"/>
      <c r="AR224" s="227"/>
      <c r="AS224" s="227"/>
      <c r="AT224" s="227"/>
      <c r="AU224" s="227"/>
      <c r="AV224" s="227"/>
      <c r="AW224" s="227"/>
      <c r="AX224" s="227"/>
      <c r="AY224" s="227"/>
      <c r="AZ224" s="227"/>
      <c r="BA224" s="227"/>
      <c r="BB224" s="227"/>
      <c r="BC224" s="227"/>
      <c r="BD224" s="227"/>
      <c r="BE224" s="227"/>
      <c r="BF224" s="227"/>
      <c r="BG224" s="227"/>
      <c r="BH224" s="227"/>
      <c r="BI224" s="227"/>
      <c r="BJ224" s="227"/>
      <c r="BK224" s="227"/>
      <c r="BL224" s="227"/>
      <c r="BM224" s="227"/>
      <c r="BN224" s="227"/>
      <c r="BO224" s="227"/>
      <c r="BP224" s="227"/>
      <c r="BQ224" s="227"/>
      <c r="BR224" s="227"/>
      <c r="BS224" s="227"/>
      <c r="BT224" s="227"/>
      <c r="BU224" s="227"/>
      <c r="BV224" s="227"/>
      <c r="BW224" s="227"/>
      <c r="BX224" s="227"/>
      <c r="BY224" s="227"/>
      <c r="BZ224" s="227"/>
      <c r="CA224" s="227"/>
      <c r="CB224" s="227"/>
      <c r="CC224" s="227"/>
      <c r="CD224" s="227"/>
      <c r="CE224" s="227"/>
      <c r="CF224" s="227"/>
      <c r="CG224" s="227"/>
      <c r="CH224" s="227"/>
      <c r="CI224" s="227"/>
      <c r="CJ224" s="227"/>
      <c r="CK224" s="227"/>
      <c r="CL224" s="227"/>
      <c r="CM224" s="227"/>
      <c r="CN224" s="227"/>
      <c r="CO224" s="227"/>
      <c r="CP224" s="227"/>
      <c r="CQ224" s="227"/>
      <c r="CR224" s="227"/>
    </row>
    <row r="225" spans="1:96" s="228" customFormat="1" ht="60" customHeight="1">
      <c r="A225" s="178"/>
      <c r="B225" s="13" t="s">
        <v>825</v>
      </c>
      <c r="C225" s="8"/>
      <c r="D225" s="34">
        <v>0</v>
      </c>
      <c r="E225" s="23">
        <f>G225+I225+K225+M225</f>
        <v>53.965</v>
      </c>
      <c r="F225" s="23"/>
      <c r="G225" s="23"/>
      <c r="H225" s="34"/>
      <c r="I225" s="23"/>
      <c r="J225" s="34"/>
      <c r="K225" s="23"/>
      <c r="L225" s="225">
        <v>0</v>
      </c>
      <c r="M225" s="141">
        <v>53.965</v>
      </c>
      <c r="N225" s="23">
        <v>53.965</v>
      </c>
      <c r="O225" s="23"/>
      <c r="P225" s="209"/>
      <c r="Q225" s="209"/>
      <c r="R225" s="209"/>
      <c r="S225" s="152">
        <f>L225-M225</f>
        <v>-53.965</v>
      </c>
      <c r="T225" s="209"/>
      <c r="U225" s="226"/>
      <c r="V225" s="226"/>
      <c r="W225" s="8" t="s">
        <v>723</v>
      </c>
      <c r="X225" s="227"/>
      <c r="Y225" s="227"/>
      <c r="Z225" s="227"/>
      <c r="AA225" s="227"/>
      <c r="AB225" s="227"/>
      <c r="AC225" s="227"/>
      <c r="AD225" s="227"/>
      <c r="AE225" s="227"/>
      <c r="AF225" s="227"/>
      <c r="AG225" s="227"/>
      <c r="AH225" s="227"/>
      <c r="AI225" s="227"/>
      <c r="AJ225" s="227"/>
      <c r="AK225" s="227"/>
      <c r="AL225" s="227"/>
      <c r="AM225" s="227"/>
      <c r="AN225" s="227"/>
      <c r="AO225" s="227"/>
      <c r="AP225" s="227"/>
      <c r="AQ225" s="227"/>
      <c r="AR225" s="227"/>
      <c r="AS225" s="227"/>
      <c r="AT225" s="227"/>
      <c r="AU225" s="227"/>
      <c r="AV225" s="227"/>
      <c r="AW225" s="227"/>
      <c r="AX225" s="227"/>
      <c r="AY225" s="227"/>
      <c r="AZ225" s="227"/>
      <c r="BA225" s="227"/>
      <c r="BB225" s="227"/>
      <c r="BC225" s="227"/>
      <c r="BD225" s="227"/>
      <c r="BE225" s="227"/>
      <c r="BF225" s="227"/>
      <c r="BG225" s="227"/>
      <c r="BH225" s="227"/>
      <c r="BI225" s="227"/>
      <c r="BJ225" s="227"/>
      <c r="BK225" s="227"/>
      <c r="BL225" s="227"/>
      <c r="BM225" s="227"/>
      <c r="BN225" s="227"/>
      <c r="BO225" s="227"/>
      <c r="BP225" s="227"/>
      <c r="BQ225" s="227"/>
      <c r="BR225" s="227"/>
      <c r="BS225" s="227"/>
      <c r="BT225" s="227"/>
      <c r="BU225" s="227"/>
      <c r="BV225" s="227"/>
      <c r="BW225" s="227"/>
      <c r="BX225" s="227"/>
      <c r="BY225" s="227"/>
      <c r="BZ225" s="227"/>
      <c r="CA225" s="227"/>
      <c r="CB225" s="227"/>
      <c r="CC225" s="227"/>
      <c r="CD225" s="227"/>
      <c r="CE225" s="227"/>
      <c r="CF225" s="227"/>
      <c r="CG225" s="227"/>
      <c r="CH225" s="227"/>
      <c r="CI225" s="227"/>
      <c r="CJ225" s="227"/>
      <c r="CK225" s="227"/>
      <c r="CL225" s="227"/>
      <c r="CM225" s="227"/>
      <c r="CN225" s="227"/>
      <c r="CO225" s="227"/>
      <c r="CP225" s="227"/>
      <c r="CQ225" s="227"/>
      <c r="CR225" s="227"/>
    </row>
    <row r="226" spans="1:96" s="20" customFormat="1" ht="23.25" customHeight="1">
      <c r="A226" s="11"/>
      <c r="B226" s="17" t="s">
        <v>709</v>
      </c>
      <c r="C226" s="3"/>
      <c r="D226" s="33">
        <f aca="true" t="shared" si="40" ref="D226:D234">F226+H226+J226+L226</f>
        <v>240.28</v>
      </c>
      <c r="E226" s="24">
        <f>G226+I226+K226+M226</f>
        <v>170.929</v>
      </c>
      <c r="F226" s="3">
        <f aca="true" t="shared" si="41" ref="F226:N226">F227+F228</f>
        <v>0</v>
      </c>
      <c r="G226" s="3">
        <f t="shared" si="41"/>
        <v>0</v>
      </c>
      <c r="H226" s="3">
        <f t="shared" si="41"/>
        <v>0</v>
      </c>
      <c r="I226" s="3">
        <f t="shared" si="41"/>
        <v>0</v>
      </c>
      <c r="J226" s="3">
        <f t="shared" si="41"/>
        <v>0</v>
      </c>
      <c r="K226" s="3">
        <f t="shared" si="41"/>
        <v>0</v>
      </c>
      <c r="L226" s="3">
        <f t="shared" si="41"/>
        <v>240.28</v>
      </c>
      <c r="M226" s="24">
        <f t="shared" si="41"/>
        <v>170.929</v>
      </c>
      <c r="N226" s="3">
        <f t="shared" si="41"/>
        <v>170.929</v>
      </c>
      <c r="O226" s="3"/>
      <c r="P226" s="3">
        <f>P227+P228</f>
        <v>0</v>
      </c>
      <c r="Q226" s="3">
        <f>Q227+Q228</f>
        <v>0</v>
      </c>
      <c r="R226" s="3">
        <f>R227+R228</f>
        <v>0</v>
      </c>
      <c r="S226" s="3">
        <f>S227+S228</f>
        <v>69.351</v>
      </c>
      <c r="T226" s="165"/>
      <c r="U226" s="19"/>
      <c r="V226" s="19"/>
      <c r="W226" s="19"/>
      <c r="X226" s="166"/>
      <c r="Y226" s="166"/>
      <c r="Z226" s="166"/>
      <c r="AA226" s="166"/>
      <c r="AB226" s="166"/>
      <c r="AC226" s="166"/>
      <c r="AD226" s="166"/>
      <c r="AE226" s="166"/>
      <c r="AF226" s="166"/>
      <c r="AG226" s="166"/>
      <c r="AH226" s="166"/>
      <c r="AI226" s="166"/>
      <c r="AJ226" s="166"/>
      <c r="AK226" s="166"/>
      <c r="AL226" s="166"/>
      <c r="AM226" s="166"/>
      <c r="AN226" s="166"/>
      <c r="AO226" s="166"/>
      <c r="AP226" s="166"/>
      <c r="AQ226" s="166"/>
      <c r="AR226" s="166"/>
      <c r="AS226" s="166"/>
      <c r="AT226" s="166"/>
      <c r="AU226" s="166"/>
      <c r="AV226" s="166"/>
      <c r="AW226" s="166"/>
      <c r="AX226" s="166"/>
      <c r="AY226" s="166"/>
      <c r="AZ226" s="166"/>
      <c r="BA226" s="166"/>
      <c r="BB226" s="166"/>
      <c r="BC226" s="166"/>
      <c r="BD226" s="166"/>
      <c r="BE226" s="166"/>
      <c r="BF226" s="166"/>
      <c r="BG226" s="166"/>
      <c r="BH226" s="166"/>
      <c r="BI226" s="166"/>
      <c r="BJ226" s="166"/>
      <c r="BK226" s="166"/>
      <c r="BL226" s="166"/>
      <c r="BM226" s="166"/>
      <c r="BN226" s="166"/>
      <c r="BO226" s="166"/>
      <c r="BP226" s="166"/>
      <c r="BQ226" s="166"/>
      <c r="BR226" s="166"/>
      <c r="BS226" s="166"/>
      <c r="BT226" s="166"/>
      <c r="BU226" s="166"/>
      <c r="BV226" s="166"/>
      <c r="BW226" s="166"/>
      <c r="BX226" s="166"/>
      <c r="BY226" s="166"/>
      <c r="BZ226" s="166"/>
      <c r="CA226" s="166"/>
      <c r="CB226" s="166"/>
      <c r="CC226" s="166"/>
      <c r="CD226" s="166"/>
      <c r="CE226" s="166"/>
      <c r="CF226" s="166"/>
      <c r="CG226" s="166"/>
      <c r="CH226" s="166"/>
      <c r="CI226" s="166"/>
      <c r="CJ226" s="166"/>
      <c r="CK226" s="166"/>
      <c r="CL226" s="166"/>
      <c r="CM226" s="166"/>
      <c r="CN226" s="166"/>
      <c r="CO226" s="166"/>
      <c r="CP226" s="166"/>
      <c r="CQ226" s="166"/>
      <c r="CR226" s="166"/>
    </row>
    <row r="227" spans="1:23" ht="43.5" customHeight="1">
      <c r="A227" s="11"/>
      <c r="B227" s="13" t="s">
        <v>710</v>
      </c>
      <c r="C227" s="8"/>
      <c r="D227" s="8">
        <f t="shared" si="40"/>
        <v>120.14</v>
      </c>
      <c r="E227" s="23">
        <f>G227+I227+K227+M227</f>
        <v>85.473</v>
      </c>
      <c r="F227" s="8"/>
      <c r="G227" s="8"/>
      <c r="H227" s="8"/>
      <c r="I227" s="23"/>
      <c r="J227" s="110"/>
      <c r="K227" s="167"/>
      <c r="L227" s="8">
        <v>120.14</v>
      </c>
      <c r="M227" s="141">
        <v>85.473</v>
      </c>
      <c r="N227" s="167">
        <f>E227</f>
        <v>85.473</v>
      </c>
      <c r="O227" s="167"/>
      <c r="P227" s="152"/>
      <c r="Q227" s="152"/>
      <c r="R227" s="152"/>
      <c r="S227" s="153">
        <f>D227-E227</f>
        <v>34.667</v>
      </c>
      <c r="T227" s="152"/>
      <c r="U227" s="10"/>
      <c r="V227" s="10"/>
      <c r="W227" s="8" t="s">
        <v>740</v>
      </c>
    </row>
    <row r="228" spans="1:23" ht="60" customHeight="1">
      <c r="A228" s="11"/>
      <c r="B228" s="13" t="s">
        <v>711</v>
      </c>
      <c r="C228" s="8"/>
      <c r="D228" s="8">
        <f t="shared" si="40"/>
        <v>120.14</v>
      </c>
      <c r="E228" s="23">
        <f>G228+I228+K228+M228</f>
        <v>85.456</v>
      </c>
      <c r="F228" s="8"/>
      <c r="G228" s="8"/>
      <c r="H228" s="8"/>
      <c r="I228" s="23"/>
      <c r="J228" s="110"/>
      <c r="K228" s="167"/>
      <c r="L228" s="8">
        <v>120.14</v>
      </c>
      <c r="M228" s="141">
        <v>85.456</v>
      </c>
      <c r="N228" s="167">
        <f>E228</f>
        <v>85.456</v>
      </c>
      <c r="O228" s="167"/>
      <c r="P228" s="152"/>
      <c r="Q228" s="152"/>
      <c r="R228" s="152"/>
      <c r="S228" s="153">
        <f>D228-E228</f>
        <v>34.684</v>
      </c>
      <c r="T228" s="152"/>
      <c r="U228" s="10"/>
      <c r="V228" s="10"/>
      <c r="W228" s="8" t="s">
        <v>740</v>
      </c>
    </row>
    <row r="229" spans="1:23" s="232" customFormat="1" ht="43.5" customHeight="1">
      <c r="A229" s="145" t="s">
        <v>228</v>
      </c>
      <c r="B229" s="174" t="s">
        <v>826</v>
      </c>
      <c r="C229" s="229"/>
      <c r="D229" s="147">
        <f t="shared" si="40"/>
        <v>5031.1</v>
      </c>
      <c r="E229" s="147">
        <f aca="true" t="shared" si="42" ref="E229:N229">E230+E237+E270</f>
        <v>5044.356000000001</v>
      </c>
      <c r="F229" s="158">
        <f t="shared" si="42"/>
        <v>2222.7999999999997</v>
      </c>
      <c r="G229" s="147">
        <f t="shared" si="42"/>
        <v>1673.911</v>
      </c>
      <c r="H229" s="147">
        <f t="shared" si="42"/>
        <v>356.3</v>
      </c>
      <c r="I229" s="147">
        <f t="shared" si="42"/>
        <v>618.049</v>
      </c>
      <c r="J229" s="147">
        <f t="shared" si="42"/>
        <v>534.6</v>
      </c>
      <c r="K229" s="147">
        <f t="shared" si="42"/>
        <v>874.5830000000001</v>
      </c>
      <c r="L229" s="147">
        <f t="shared" si="42"/>
        <v>1917.4</v>
      </c>
      <c r="M229" s="147">
        <f t="shared" si="42"/>
        <v>1877.8129999999999</v>
      </c>
      <c r="N229" s="147">
        <f t="shared" si="42"/>
        <v>6014.808000000001</v>
      </c>
      <c r="O229" s="147"/>
      <c r="P229" s="147"/>
      <c r="Q229" s="147"/>
      <c r="R229" s="147"/>
      <c r="S229" s="147">
        <f>S230+S237</f>
        <v>-82.25100000000009</v>
      </c>
      <c r="T229" s="230"/>
      <c r="U229" s="231"/>
      <c r="V229" s="231"/>
      <c r="W229" s="231"/>
    </row>
    <row r="230" spans="1:23" s="180" customFormat="1" ht="39" customHeight="1">
      <c r="A230" s="11" t="s">
        <v>827</v>
      </c>
      <c r="B230" s="31" t="s">
        <v>828</v>
      </c>
      <c r="C230" s="179"/>
      <c r="D230" s="30">
        <f t="shared" si="40"/>
        <v>1886.9999999999998</v>
      </c>
      <c r="E230" s="24">
        <f aca="true" t="shared" si="43" ref="E230:E246">G230+I230+K230+M230</f>
        <v>1888.3380000000002</v>
      </c>
      <c r="F230" s="24">
        <f aca="true" t="shared" si="44" ref="F230:K230">F231+F232+F233+F234</f>
        <v>1132.1999999999998</v>
      </c>
      <c r="G230" s="24">
        <f t="shared" si="44"/>
        <v>711.9490000000001</v>
      </c>
      <c r="H230" s="24">
        <f t="shared" si="44"/>
        <v>0</v>
      </c>
      <c r="I230" s="24">
        <f t="shared" si="44"/>
        <v>231.918</v>
      </c>
      <c r="J230" s="24">
        <f t="shared" si="44"/>
        <v>0</v>
      </c>
      <c r="K230" s="24">
        <f t="shared" si="44"/>
        <v>311.059</v>
      </c>
      <c r="L230" s="24">
        <f>L235+L236</f>
        <v>754.8</v>
      </c>
      <c r="M230" s="24">
        <f>M235+M236</f>
        <v>633.412</v>
      </c>
      <c r="N230" s="24">
        <f>+N237+N270</f>
        <v>3007.4040000000005</v>
      </c>
      <c r="O230" s="24"/>
      <c r="P230" s="24"/>
      <c r="Q230" s="24"/>
      <c r="R230" s="24"/>
      <c r="S230" s="24">
        <f>S231+S232+S233+S234</f>
        <v>-122.72600000000011</v>
      </c>
      <c r="T230" s="187"/>
      <c r="U230" s="188"/>
      <c r="V230" s="188"/>
      <c r="W230" s="8"/>
    </row>
    <row r="231" spans="1:23" s="238" customFormat="1" ht="31.5" customHeight="1">
      <c r="A231" s="233"/>
      <c r="B231" s="13" t="s">
        <v>829</v>
      </c>
      <c r="C231" s="8"/>
      <c r="D231" s="23">
        <f t="shared" si="40"/>
        <v>377.4</v>
      </c>
      <c r="E231" s="23">
        <f t="shared" si="43"/>
        <v>315.188</v>
      </c>
      <c r="F231" s="23">
        <v>377.4</v>
      </c>
      <c r="G231" s="23">
        <v>315.188</v>
      </c>
      <c r="H231" s="34"/>
      <c r="I231" s="8"/>
      <c r="J231" s="8"/>
      <c r="K231" s="234"/>
      <c r="L231" s="235"/>
      <c r="M231" s="234"/>
      <c r="N231" s="23">
        <v>315.188</v>
      </c>
      <c r="O231" s="23"/>
      <c r="P231" s="236"/>
      <c r="Q231" s="236"/>
      <c r="R231" s="236"/>
      <c r="S231" s="205">
        <f>D231-E231</f>
        <v>62.21199999999999</v>
      </c>
      <c r="T231" s="236"/>
      <c r="U231" s="237"/>
      <c r="V231" s="237"/>
      <c r="W231" s="8" t="s">
        <v>740</v>
      </c>
    </row>
    <row r="232" spans="1:23" s="238" customFormat="1" ht="31.5" customHeight="1">
      <c r="A232" s="233"/>
      <c r="B232" s="13" t="s">
        <v>830</v>
      </c>
      <c r="C232" s="8"/>
      <c r="D232" s="23">
        <f t="shared" si="40"/>
        <v>377.4</v>
      </c>
      <c r="E232" s="23">
        <f t="shared" si="43"/>
        <v>314.339</v>
      </c>
      <c r="F232" s="23">
        <v>377.4</v>
      </c>
      <c r="G232" s="23">
        <v>203.355</v>
      </c>
      <c r="H232" s="34">
        <v>0</v>
      </c>
      <c r="I232" s="23">
        <v>110.984</v>
      </c>
      <c r="J232" s="8"/>
      <c r="K232" s="234"/>
      <c r="L232" s="235"/>
      <c r="M232" s="234"/>
      <c r="N232" s="23">
        <f>G232+I232</f>
        <v>314.339</v>
      </c>
      <c r="O232" s="23"/>
      <c r="P232" s="236"/>
      <c r="Q232" s="236"/>
      <c r="R232" s="236"/>
      <c r="S232" s="205">
        <f>D232-E232</f>
        <v>63.06099999999998</v>
      </c>
      <c r="T232" s="236"/>
      <c r="U232" s="237"/>
      <c r="V232" s="239"/>
      <c r="W232" s="8" t="s">
        <v>740</v>
      </c>
    </row>
    <row r="233" spans="1:23" s="238" customFormat="1" ht="31.5" customHeight="1">
      <c r="A233" s="233"/>
      <c r="B233" s="13" t="s">
        <v>831</v>
      </c>
      <c r="C233" s="8"/>
      <c r="D233" s="23">
        <f t="shared" si="40"/>
        <v>377.4</v>
      </c>
      <c r="E233" s="23">
        <f t="shared" si="43"/>
        <v>314.34000000000003</v>
      </c>
      <c r="F233" s="23">
        <v>377.4</v>
      </c>
      <c r="G233" s="23">
        <v>193.406</v>
      </c>
      <c r="H233" s="34">
        <v>0</v>
      </c>
      <c r="I233" s="23">
        <v>120.934</v>
      </c>
      <c r="J233" s="8"/>
      <c r="K233" s="234"/>
      <c r="L233" s="235"/>
      <c r="M233" s="234"/>
      <c r="N233" s="23">
        <f>G233+I233</f>
        <v>314.34000000000003</v>
      </c>
      <c r="O233" s="23"/>
      <c r="P233" s="236"/>
      <c r="Q233" s="236"/>
      <c r="R233" s="236"/>
      <c r="S233" s="205">
        <f>D233-E233</f>
        <v>63.059999999999945</v>
      </c>
      <c r="T233" s="236"/>
      <c r="U233" s="237"/>
      <c r="V233" s="239"/>
      <c r="W233" s="8" t="s">
        <v>740</v>
      </c>
    </row>
    <row r="234" spans="1:23" s="238" customFormat="1" ht="63" customHeight="1">
      <c r="A234" s="233"/>
      <c r="B234" s="13" t="s">
        <v>832</v>
      </c>
      <c r="C234" s="8"/>
      <c r="D234" s="23">
        <f t="shared" si="40"/>
        <v>0</v>
      </c>
      <c r="E234" s="23">
        <f t="shared" si="43"/>
        <v>311.059</v>
      </c>
      <c r="F234" s="23"/>
      <c r="G234" s="23"/>
      <c r="H234" s="34"/>
      <c r="I234" s="23"/>
      <c r="J234" s="8">
        <v>0</v>
      </c>
      <c r="K234" s="23">
        <v>311.059</v>
      </c>
      <c r="L234" s="235"/>
      <c r="M234" s="234"/>
      <c r="N234" s="23">
        <v>311.059</v>
      </c>
      <c r="O234" s="23"/>
      <c r="P234" s="236"/>
      <c r="Q234" s="236"/>
      <c r="R234" s="236"/>
      <c r="S234" s="205">
        <f>J234-K234</f>
        <v>-311.059</v>
      </c>
      <c r="T234" s="236"/>
      <c r="U234" s="237"/>
      <c r="V234" s="239"/>
      <c r="W234" s="8" t="s">
        <v>723</v>
      </c>
    </row>
    <row r="235" spans="1:23" s="238" customFormat="1" ht="38.25" customHeight="1">
      <c r="A235" s="233"/>
      <c r="B235" s="13" t="s">
        <v>833</v>
      </c>
      <c r="C235" s="8"/>
      <c r="D235" s="23">
        <v>377.4</v>
      </c>
      <c r="E235" s="23">
        <f t="shared" si="43"/>
        <v>316.706</v>
      </c>
      <c r="F235" s="23"/>
      <c r="G235" s="23"/>
      <c r="H235" s="34"/>
      <c r="I235" s="23"/>
      <c r="J235" s="8"/>
      <c r="K235" s="23"/>
      <c r="L235" s="191">
        <v>377.4</v>
      </c>
      <c r="M235" s="190">
        <v>316.706</v>
      </c>
      <c r="N235" s="23">
        <v>316.706</v>
      </c>
      <c r="O235" s="23"/>
      <c r="P235" s="236"/>
      <c r="Q235" s="236"/>
      <c r="R235" s="236"/>
      <c r="S235" s="205">
        <f>D235-E235</f>
        <v>60.69399999999996</v>
      </c>
      <c r="T235" s="236"/>
      <c r="U235" s="237"/>
      <c r="V235" s="239"/>
      <c r="W235" s="8" t="s">
        <v>740</v>
      </c>
    </row>
    <row r="236" spans="1:23" s="238" customFormat="1" ht="38.25" customHeight="1">
      <c r="A236" s="233"/>
      <c r="B236" s="13" t="s">
        <v>834</v>
      </c>
      <c r="C236" s="8"/>
      <c r="D236" s="23">
        <v>377.4</v>
      </c>
      <c r="E236" s="23">
        <f t="shared" si="43"/>
        <v>316.706</v>
      </c>
      <c r="F236" s="23"/>
      <c r="G236" s="23"/>
      <c r="H236" s="34"/>
      <c r="I236" s="23"/>
      <c r="J236" s="8"/>
      <c r="K236" s="23"/>
      <c r="L236" s="191">
        <v>377.4</v>
      </c>
      <c r="M236" s="190">
        <v>316.706</v>
      </c>
      <c r="N236" s="23">
        <v>316.706</v>
      </c>
      <c r="O236" s="23"/>
      <c r="P236" s="236"/>
      <c r="Q236" s="236"/>
      <c r="R236" s="236"/>
      <c r="S236" s="205">
        <f>D236-E236</f>
        <v>60.69399999999996</v>
      </c>
      <c r="T236" s="236"/>
      <c r="U236" s="237"/>
      <c r="V236" s="239"/>
      <c r="W236" s="8" t="s">
        <v>740</v>
      </c>
    </row>
    <row r="237" spans="1:23" s="180" customFormat="1" ht="54.75" customHeight="1">
      <c r="A237" s="11" t="s">
        <v>835</v>
      </c>
      <c r="B237" s="240" t="s">
        <v>836</v>
      </c>
      <c r="C237" s="241"/>
      <c r="D237" s="30">
        <f aca="true" t="shared" si="45" ref="D237:D244">F237+H237+J237+L237</f>
        <v>2494.1</v>
      </c>
      <c r="E237" s="24">
        <f t="shared" si="43"/>
        <v>2499.856</v>
      </c>
      <c r="F237" s="24">
        <f aca="true" t="shared" si="46" ref="F237:K237">F238+F249+F252+F258+F265+F255</f>
        <v>890.6</v>
      </c>
      <c r="G237" s="24">
        <f t="shared" si="46"/>
        <v>791.37</v>
      </c>
      <c r="H237" s="24">
        <f t="shared" si="46"/>
        <v>356.3</v>
      </c>
      <c r="I237" s="24">
        <f t="shared" si="46"/>
        <v>386.131</v>
      </c>
      <c r="J237" s="24">
        <f t="shared" si="46"/>
        <v>534.6</v>
      </c>
      <c r="K237" s="24">
        <f t="shared" si="46"/>
        <v>563.524</v>
      </c>
      <c r="L237" s="24">
        <f>L238+L249+L252+L258+L265+L255+L247</f>
        <v>712.6</v>
      </c>
      <c r="M237" s="24">
        <f>M238+M249+M252+M258+M265+M255+M247</f>
        <v>758.831</v>
      </c>
      <c r="N237" s="24">
        <f>N238+N249+N252+N258+N265+N255</f>
        <v>2351.242</v>
      </c>
      <c r="O237" s="24"/>
      <c r="P237" s="24"/>
      <c r="Q237" s="24"/>
      <c r="R237" s="24"/>
      <c r="S237" s="24">
        <f>S238+S249+S252+S258+S265</f>
        <v>40.47500000000003</v>
      </c>
      <c r="T237" s="187"/>
      <c r="U237" s="188"/>
      <c r="V237" s="242"/>
      <c r="W237" s="3"/>
    </row>
    <row r="238" spans="1:23" s="180" customFormat="1" ht="21.75" customHeight="1">
      <c r="A238" s="11"/>
      <c r="B238" s="171" t="s">
        <v>35</v>
      </c>
      <c r="C238" s="241"/>
      <c r="D238" s="24">
        <f t="shared" si="45"/>
        <v>1248.1000000000001</v>
      </c>
      <c r="E238" s="24">
        <f t="shared" si="43"/>
        <v>1258.545</v>
      </c>
      <c r="F238" s="24">
        <f aca="true" t="shared" si="47" ref="F238:K238">F239+F240+F241+F242+F243+F244</f>
        <v>356.6</v>
      </c>
      <c r="G238" s="24">
        <f t="shared" si="47"/>
        <v>305.687</v>
      </c>
      <c r="H238" s="24">
        <f t="shared" si="47"/>
        <v>178.3</v>
      </c>
      <c r="I238" s="24">
        <f t="shared" si="47"/>
        <v>220.029</v>
      </c>
      <c r="J238" s="24">
        <f t="shared" si="47"/>
        <v>356.6</v>
      </c>
      <c r="K238" s="24">
        <f t="shared" si="47"/>
        <v>311.21299999999997</v>
      </c>
      <c r="L238" s="24">
        <f>L245+L246</f>
        <v>356.6</v>
      </c>
      <c r="M238" s="24">
        <f>M239+M240+M241+M242+M243+M244+M245+M246</f>
        <v>421.616</v>
      </c>
      <c r="N238" s="24">
        <f>N239+N240+N241+N242+N243+N244+N245+N246</f>
        <v>1258.545</v>
      </c>
      <c r="O238" s="24"/>
      <c r="P238" s="24"/>
      <c r="Q238" s="24"/>
      <c r="R238" s="24"/>
      <c r="S238" s="24">
        <f>S239+S240+S241+S242+S243+S244</f>
        <v>54.57100000000006</v>
      </c>
      <c r="T238" s="187"/>
      <c r="U238" s="188"/>
      <c r="V238" s="242"/>
      <c r="W238" s="3"/>
    </row>
    <row r="239" spans="1:96" s="249" customFormat="1" ht="46.5" customHeight="1">
      <c r="A239" s="243"/>
      <c r="B239" s="244" t="s">
        <v>837</v>
      </c>
      <c r="C239" s="8"/>
      <c r="D239" s="23">
        <f t="shared" si="45"/>
        <v>178.3</v>
      </c>
      <c r="E239" s="23">
        <f t="shared" si="43"/>
        <v>153.36</v>
      </c>
      <c r="F239" s="23">
        <v>178.3</v>
      </c>
      <c r="G239" s="23">
        <v>153.36</v>
      </c>
      <c r="H239" s="23"/>
      <c r="I239" s="23"/>
      <c r="J239" s="23"/>
      <c r="K239" s="245"/>
      <c r="L239" s="246"/>
      <c r="M239" s="245"/>
      <c r="N239" s="23">
        <v>153.36</v>
      </c>
      <c r="O239" s="23"/>
      <c r="P239" s="152"/>
      <c r="Q239" s="152"/>
      <c r="R239" s="152"/>
      <c r="S239" s="205">
        <f aca="true" t="shared" si="48" ref="S239:S248">D239-E239</f>
        <v>24.939999999999998</v>
      </c>
      <c r="T239" s="152"/>
      <c r="U239" s="247"/>
      <c r="V239" s="247"/>
      <c r="W239" s="28" t="s">
        <v>838</v>
      </c>
      <c r="X239" s="248"/>
      <c r="Y239" s="248"/>
      <c r="Z239" s="248"/>
      <c r="AA239" s="248"/>
      <c r="AB239" s="248"/>
      <c r="AC239" s="248"/>
      <c r="AD239" s="248"/>
      <c r="AE239" s="248"/>
      <c r="AF239" s="248"/>
      <c r="AG239" s="248"/>
      <c r="AH239" s="248"/>
      <c r="AI239" s="248"/>
      <c r="AJ239" s="248"/>
      <c r="AK239" s="248"/>
      <c r="AL239" s="248"/>
      <c r="AM239" s="248"/>
      <c r="AN239" s="248"/>
      <c r="AO239" s="248"/>
      <c r="AP239" s="248"/>
      <c r="AQ239" s="248"/>
      <c r="AR239" s="248"/>
      <c r="AS239" s="248"/>
      <c r="AT239" s="248"/>
      <c r="AU239" s="248"/>
      <c r="AV239" s="248"/>
      <c r="AW239" s="248"/>
      <c r="AX239" s="248"/>
      <c r="AY239" s="248"/>
      <c r="AZ239" s="248"/>
      <c r="BA239" s="248"/>
      <c r="BB239" s="248"/>
      <c r="BC239" s="248"/>
      <c r="BD239" s="248"/>
      <c r="BE239" s="248"/>
      <c r="BF239" s="248"/>
      <c r="BG239" s="248"/>
      <c r="BH239" s="248"/>
      <c r="BI239" s="248"/>
      <c r="BJ239" s="248"/>
      <c r="BK239" s="248"/>
      <c r="BL239" s="248"/>
      <c r="BM239" s="248"/>
      <c r="BN239" s="248"/>
      <c r="BO239" s="248"/>
      <c r="BP239" s="248"/>
      <c r="BQ239" s="248"/>
      <c r="BR239" s="248"/>
      <c r="BS239" s="248"/>
      <c r="BT239" s="248"/>
      <c r="BU239" s="248"/>
      <c r="BV239" s="248"/>
      <c r="BW239" s="248"/>
      <c r="BX239" s="248"/>
      <c r="BY239" s="248"/>
      <c r="BZ239" s="248"/>
      <c r="CA239" s="248"/>
      <c r="CB239" s="248"/>
      <c r="CC239" s="248"/>
      <c r="CD239" s="248"/>
      <c r="CE239" s="248"/>
      <c r="CF239" s="248"/>
      <c r="CG239" s="248"/>
      <c r="CH239" s="248"/>
      <c r="CI239" s="248"/>
      <c r="CJ239" s="248"/>
      <c r="CK239" s="248"/>
      <c r="CL239" s="248"/>
      <c r="CM239" s="248"/>
      <c r="CN239" s="248"/>
      <c r="CO239" s="248"/>
      <c r="CP239" s="248"/>
      <c r="CQ239" s="248"/>
      <c r="CR239" s="248"/>
    </row>
    <row r="240" spans="1:96" s="249" customFormat="1" ht="56.25" customHeight="1">
      <c r="A240" s="243"/>
      <c r="B240" s="244" t="s">
        <v>839</v>
      </c>
      <c r="C240" s="8"/>
      <c r="D240" s="23">
        <f t="shared" si="45"/>
        <v>178.3</v>
      </c>
      <c r="E240" s="23">
        <f t="shared" si="43"/>
        <v>152.327</v>
      </c>
      <c r="F240" s="23">
        <v>178.3</v>
      </c>
      <c r="G240" s="23">
        <v>152.327</v>
      </c>
      <c r="H240" s="23"/>
      <c r="I240" s="23"/>
      <c r="J240" s="23"/>
      <c r="K240" s="245"/>
      <c r="L240" s="246"/>
      <c r="M240" s="245"/>
      <c r="N240" s="23">
        <v>152.327</v>
      </c>
      <c r="O240" s="23"/>
      <c r="P240" s="152"/>
      <c r="Q240" s="152"/>
      <c r="R240" s="152"/>
      <c r="S240" s="205">
        <f t="shared" si="48"/>
        <v>25.973000000000013</v>
      </c>
      <c r="T240" s="152"/>
      <c r="U240" s="247"/>
      <c r="V240" s="247"/>
      <c r="W240" s="28" t="s">
        <v>838</v>
      </c>
      <c r="X240" s="248"/>
      <c r="Y240" s="248"/>
      <c r="Z240" s="248"/>
      <c r="AA240" s="248"/>
      <c r="AB240" s="248"/>
      <c r="AC240" s="248"/>
      <c r="AD240" s="248"/>
      <c r="AE240" s="248"/>
      <c r="AF240" s="248"/>
      <c r="AG240" s="248"/>
      <c r="AH240" s="248"/>
      <c r="AI240" s="248"/>
      <c r="AJ240" s="248"/>
      <c r="AK240" s="248"/>
      <c r="AL240" s="248"/>
      <c r="AM240" s="248"/>
      <c r="AN240" s="248"/>
      <c r="AO240" s="248"/>
      <c r="AP240" s="248"/>
      <c r="AQ240" s="248"/>
      <c r="AR240" s="248"/>
      <c r="AS240" s="248"/>
      <c r="AT240" s="248"/>
      <c r="AU240" s="248"/>
      <c r="AV240" s="248"/>
      <c r="AW240" s="248"/>
      <c r="AX240" s="248"/>
      <c r="AY240" s="248"/>
      <c r="AZ240" s="248"/>
      <c r="BA240" s="248"/>
      <c r="BB240" s="248"/>
      <c r="BC240" s="248"/>
      <c r="BD240" s="248"/>
      <c r="BE240" s="248"/>
      <c r="BF240" s="248"/>
      <c r="BG240" s="248"/>
      <c r="BH240" s="248"/>
      <c r="BI240" s="248"/>
      <c r="BJ240" s="248"/>
      <c r="BK240" s="248"/>
      <c r="BL240" s="248"/>
      <c r="BM240" s="248"/>
      <c r="BN240" s="248"/>
      <c r="BO240" s="248"/>
      <c r="BP240" s="248"/>
      <c r="BQ240" s="248"/>
      <c r="BR240" s="248"/>
      <c r="BS240" s="248"/>
      <c r="BT240" s="248"/>
      <c r="BU240" s="248"/>
      <c r="BV240" s="248"/>
      <c r="BW240" s="248"/>
      <c r="BX240" s="248"/>
      <c r="BY240" s="248"/>
      <c r="BZ240" s="248"/>
      <c r="CA240" s="248"/>
      <c r="CB240" s="248"/>
      <c r="CC240" s="248"/>
      <c r="CD240" s="248"/>
      <c r="CE240" s="248"/>
      <c r="CF240" s="248"/>
      <c r="CG240" s="248"/>
      <c r="CH240" s="248"/>
      <c r="CI240" s="248"/>
      <c r="CJ240" s="248"/>
      <c r="CK240" s="248"/>
      <c r="CL240" s="248"/>
      <c r="CM240" s="248"/>
      <c r="CN240" s="248"/>
      <c r="CO240" s="248"/>
      <c r="CP240" s="248"/>
      <c r="CQ240" s="248"/>
      <c r="CR240" s="248"/>
    </row>
    <row r="241" spans="1:96" s="249" customFormat="1" ht="53.25" customHeight="1">
      <c r="A241" s="243"/>
      <c r="B241" s="244" t="s">
        <v>840</v>
      </c>
      <c r="C241" s="8"/>
      <c r="D241" s="23">
        <f t="shared" si="45"/>
        <v>178.3</v>
      </c>
      <c r="E241" s="23">
        <f t="shared" si="43"/>
        <v>156.152</v>
      </c>
      <c r="F241" s="23"/>
      <c r="G241" s="23"/>
      <c r="H241" s="23">
        <v>178.3</v>
      </c>
      <c r="I241" s="23">
        <v>156.152</v>
      </c>
      <c r="J241" s="23"/>
      <c r="K241" s="245"/>
      <c r="L241" s="246"/>
      <c r="M241" s="245"/>
      <c r="N241" s="23">
        <v>156.152</v>
      </c>
      <c r="O241" s="23"/>
      <c r="P241" s="152"/>
      <c r="Q241" s="152"/>
      <c r="R241" s="152"/>
      <c r="S241" s="205">
        <f t="shared" si="48"/>
        <v>22.148000000000025</v>
      </c>
      <c r="T241" s="152"/>
      <c r="U241" s="247"/>
      <c r="V241" s="247"/>
      <c r="W241" s="28" t="s">
        <v>838</v>
      </c>
      <c r="X241" s="248"/>
      <c r="Y241" s="248"/>
      <c r="Z241" s="248"/>
      <c r="AA241" s="248"/>
      <c r="AB241" s="248"/>
      <c r="AC241" s="248"/>
      <c r="AD241" s="248"/>
      <c r="AE241" s="248"/>
      <c r="AF241" s="248"/>
      <c r="AG241" s="248"/>
      <c r="AH241" s="248"/>
      <c r="AI241" s="248"/>
      <c r="AJ241" s="248"/>
      <c r="AK241" s="248"/>
      <c r="AL241" s="248"/>
      <c r="AM241" s="248"/>
      <c r="AN241" s="248"/>
      <c r="AO241" s="248"/>
      <c r="AP241" s="248"/>
      <c r="AQ241" s="248"/>
      <c r="AR241" s="248"/>
      <c r="AS241" s="248"/>
      <c r="AT241" s="248"/>
      <c r="AU241" s="248"/>
      <c r="AV241" s="248"/>
      <c r="AW241" s="248"/>
      <c r="AX241" s="248"/>
      <c r="AY241" s="248"/>
      <c r="AZ241" s="248"/>
      <c r="BA241" s="248"/>
      <c r="BB241" s="248"/>
      <c r="BC241" s="248"/>
      <c r="BD241" s="248"/>
      <c r="BE241" s="248"/>
      <c r="BF241" s="248"/>
      <c r="BG241" s="248"/>
      <c r="BH241" s="248"/>
      <c r="BI241" s="248"/>
      <c r="BJ241" s="248"/>
      <c r="BK241" s="248"/>
      <c r="BL241" s="248"/>
      <c r="BM241" s="248"/>
      <c r="BN241" s="248"/>
      <c r="BO241" s="248"/>
      <c r="BP241" s="248"/>
      <c r="BQ241" s="248"/>
      <c r="BR241" s="248"/>
      <c r="BS241" s="248"/>
      <c r="BT241" s="248"/>
      <c r="BU241" s="248"/>
      <c r="BV241" s="248"/>
      <c r="BW241" s="248"/>
      <c r="BX241" s="248"/>
      <c r="BY241" s="248"/>
      <c r="BZ241" s="248"/>
      <c r="CA241" s="248"/>
      <c r="CB241" s="248"/>
      <c r="CC241" s="248"/>
      <c r="CD241" s="248"/>
      <c r="CE241" s="248"/>
      <c r="CF241" s="248"/>
      <c r="CG241" s="248"/>
      <c r="CH241" s="248"/>
      <c r="CI241" s="248"/>
      <c r="CJ241" s="248"/>
      <c r="CK241" s="248"/>
      <c r="CL241" s="248"/>
      <c r="CM241" s="248"/>
      <c r="CN241" s="248"/>
      <c r="CO241" s="248"/>
      <c r="CP241" s="248"/>
      <c r="CQ241" s="248"/>
      <c r="CR241" s="248"/>
    </row>
    <row r="242" spans="1:96" s="249" customFormat="1" ht="28.5" customHeight="1">
      <c r="A242" s="243"/>
      <c r="B242" s="244" t="s">
        <v>841</v>
      </c>
      <c r="C242" s="8"/>
      <c r="D242" s="23">
        <f t="shared" si="45"/>
        <v>0</v>
      </c>
      <c r="E242" s="23">
        <f t="shared" si="43"/>
        <v>63.877</v>
      </c>
      <c r="F242" s="23"/>
      <c r="G242" s="23"/>
      <c r="H242" s="23">
        <v>0</v>
      </c>
      <c r="I242" s="23">
        <v>63.877</v>
      </c>
      <c r="J242" s="23"/>
      <c r="K242" s="245"/>
      <c r="L242" s="246"/>
      <c r="M242" s="245"/>
      <c r="N242" s="23">
        <v>63.877</v>
      </c>
      <c r="O242" s="23"/>
      <c r="P242" s="152"/>
      <c r="Q242" s="152"/>
      <c r="R242" s="152"/>
      <c r="S242" s="205">
        <f t="shared" si="48"/>
        <v>-63.877</v>
      </c>
      <c r="T242" s="152"/>
      <c r="U242" s="247"/>
      <c r="V242" s="247"/>
      <c r="W242" s="28" t="s">
        <v>723</v>
      </c>
      <c r="X242" s="248"/>
      <c r="Y242" s="248"/>
      <c r="Z242" s="248"/>
      <c r="AA242" s="248"/>
      <c r="AB242" s="248"/>
      <c r="AC242" s="248"/>
      <c r="AD242" s="248"/>
      <c r="AE242" s="248"/>
      <c r="AF242" s="248"/>
      <c r="AG242" s="248"/>
      <c r="AH242" s="248"/>
      <c r="AI242" s="248"/>
      <c r="AJ242" s="248"/>
      <c r="AK242" s="248"/>
      <c r="AL242" s="248"/>
      <c r="AM242" s="248"/>
      <c r="AN242" s="248"/>
      <c r="AO242" s="248"/>
      <c r="AP242" s="248"/>
      <c r="AQ242" s="248"/>
      <c r="AR242" s="248"/>
      <c r="AS242" s="248"/>
      <c r="AT242" s="248"/>
      <c r="AU242" s="248"/>
      <c r="AV242" s="248"/>
      <c r="AW242" s="248"/>
      <c r="AX242" s="248"/>
      <c r="AY242" s="248"/>
      <c r="AZ242" s="248"/>
      <c r="BA242" s="248"/>
      <c r="BB242" s="248"/>
      <c r="BC242" s="248"/>
      <c r="BD242" s="248"/>
      <c r="BE242" s="248"/>
      <c r="BF242" s="248"/>
      <c r="BG242" s="248"/>
      <c r="BH242" s="248"/>
      <c r="BI242" s="248"/>
      <c r="BJ242" s="248"/>
      <c r="BK242" s="248"/>
      <c r="BL242" s="248"/>
      <c r="BM242" s="248"/>
      <c r="BN242" s="248"/>
      <c r="BO242" s="248"/>
      <c r="BP242" s="248"/>
      <c r="BQ242" s="248"/>
      <c r="BR242" s="248"/>
      <c r="BS242" s="248"/>
      <c r="BT242" s="248"/>
      <c r="BU242" s="248"/>
      <c r="BV242" s="248"/>
      <c r="BW242" s="248"/>
      <c r="BX242" s="248"/>
      <c r="BY242" s="248"/>
      <c r="BZ242" s="248"/>
      <c r="CA242" s="248"/>
      <c r="CB242" s="248"/>
      <c r="CC242" s="248"/>
      <c r="CD242" s="248"/>
      <c r="CE242" s="248"/>
      <c r="CF242" s="248"/>
      <c r="CG242" s="248"/>
      <c r="CH242" s="248"/>
      <c r="CI242" s="248"/>
      <c r="CJ242" s="248"/>
      <c r="CK242" s="248"/>
      <c r="CL242" s="248"/>
      <c r="CM242" s="248"/>
      <c r="CN242" s="248"/>
      <c r="CO242" s="248"/>
      <c r="CP242" s="248"/>
      <c r="CQ242" s="248"/>
      <c r="CR242" s="248"/>
    </row>
    <row r="243" spans="1:96" s="249" customFormat="1" ht="54.75" customHeight="1">
      <c r="A243" s="243"/>
      <c r="B243" s="244" t="s">
        <v>842</v>
      </c>
      <c r="C243" s="8"/>
      <c r="D243" s="23">
        <f t="shared" si="45"/>
        <v>178.3</v>
      </c>
      <c r="E243" s="23">
        <f t="shared" si="43"/>
        <v>153.052</v>
      </c>
      <c r="F243" s="167"/>
      <c r="G243" s="167"/>
      <c r="H243" s="167"/>
      <c r="I243" s="167"/>
      <c r="J243" s="23">
        <v>178.3</v>
      </c>
      <c r="K243" s="23">
        <v>153.052</v>
      </c>
      <c r="L243" s="23"/>
      <c r="M243" s="23"/>
      <c r="N243" s="23">
        <v>153.052</v>
      </c>
      <c r="O243" s="23"/>
      <c r="P243" s="23"/>
      <c r="Q243" s="23"/>
      <c r="R243" s="23"/>
      <c r="S243" s="205">
        <f t="shared" si="48"/>
        <v>25.24800000000002</v>
      </c>
      <c r="T243" s="152"/>
      <c r="U243" s="247"/>
      <c r="V243" s="247"/>
      <c r="W243" s="28" t="s">
        <v>838</v>
      </c>
      <c r="X243" s="248"/>
      <c r="Y243" s="248"/>
      <c r="Z243" s="248"/>
      <c r="AA243" s="248"/>
      <c r="AB243" s="248"/>
      <c r="AC243" s="248"/>
      <c r="AD243" s="248"/>
      <c r="AE243" s="248"/>
      <c r="AF243" s="248"/>
      <c r="AG243" s="248"/>
      <c r="AH243" s="248"/>
      <c r="AI243" s="248"/>
      <c r="AJ243" s="248"/>
      <c r="AK243" s="248"/>
      <c r="AL243" s="248"/>
      <c r="AM243" s="248"/>
      <c r="AN243" s="248"/>
      <c r="AO243" s="248"/>
      <c r="AP243" s="248"/>
      <c r="AQ243" s="248"/>
      <c r="AR243" s="248"/>
      <c r="AS243" s="248"/>
      <c r="AT243" s="248"/>
      <c r="AU243" s="248"/>
      <c r="AV243" s="248"/>
      <c r="AW243" s="248"/>
      <c r="AX243" s="248"/>
      <c r="AY243" s="248"/>
      <c r="AZ243" s="248"/>
      <c r="BA243" s="248"/>
      <c r="BB243" s="248"/>
      <c r="BC243" s="248"/>
      <c r="BD243" s="248"/>
      <c r="BE243" s="248"/>
      <c r="BF243" s="248"/>
      <c r="BG243" s="248"/>
      <c r="BH243" s="248"/>
      <c r="BI243" s="248"/>
      <c r="BJ243" s="248"/>
      <c r="BK243" s="248"/>
      <c r="BL243" s="248"/>
      <c r="BM243" s="248"/>
      <c r="BN243" s="248"/>
      <c r="BO243" s="248"/>
      <c r="BP243" s="248"/>
      <c r="BQ243" s="248"/>
      <c r="BR243" s="248"/>
      <c r="BS243" s="248"/>
      <c r="BT243" s="248"/>
      <c r="BU243" s="248"/>
      <c r="BV243" s="248"/>
      <c r="BW243" s="248"/>
      <c r="BX243" s="248"/>
      <c r="BY243" s="248"/>
      <c r="BZ243" s="248"/>
      <c r="CA243" s="248"/>
      <c r="CB243" s="248"/>
      <c r="CC243" s="248"/>
      <c r="CD243" s="248"/>
      <c r="CE243" s="248"/>
      <c r="CF243" s="248"/>
      <c r="CG243" s="248"/>
      <c r="CH243" s="248"/>
      <c r="CI243" s="248"/>
      <c r="CJ243" s="248"/>
      <c r="CK243" s="248"/>
      <c r="CL243" s="248"/>
      <c r="CM243" s="248"/>
      <c r="CN243" s="248"/>
      <c r="CO243" s="248"/>
      <c r="CP243" s="248"/>
      <c r="CQ243" s="248"/>
      <c r="CR243" s="248"/>
    </row>
    <row r="244" spans="1:96" s="249" customFormat="1" ht="45.75" customHeight="1">
      <c r="A244" s="243"/>
      <c r="B244" s="244" t="s">
        <v>843</v>
      </c>
      <c r="C244" s="8"/>
      <c r="D244" s="23">
        <f t="shared" si="45"/>
        <v>178.3</v>
      </c>
      <c r="E244" s="23">
        <f t="shared" si="43"/>
        <v>158.161</v>
      </c>
      <c r="F244" s="167"/>
      <c r="G244" s="167"/>
      <c r="H244" s="167"/>
      <c r="I244" s="167"/>
      <c r="J244" s="23">
        <v>178.3</v>
      </c>
      <c r="K244" s="23">
        <f>141.641+16.52</f>
        <v>158.161</v>
      </c>
      <c r="L244" s="23"/>
      <c r="M244" s="23"/>
      <c r="N244" s="23">
        <f>141.641+16.52</f>
        <v>158.161</v>
      </c>
      <c r="O244" s="23"/>
      <c r="P244" s="23"/>
      <c r="Q244" s="23"/>
      <c r="R244" s="23"/>
      <c r="S244" s="205">
        <f t="shared" si="48"/>
        <v>20.13900000000001</v>
      </c>
      <c r="T244" s="152"/>
      <c r="U244" s="247"/>
      <c r="V244" s="247"/>
      <c r="W244" s="28" t="s">
        <v>838</v>
      </c>
      <c r="X244" s="248"/>
      <c r="Y244" s="248"/>
      <c r="Z244" s="248"/>
      <c r="AA244" s="248"/>
      <c r="AB244" s="248"/>
      <c r="AC244" s="248"/>
      <c r="AD244" s="248"/>
      <c r="AE244" s="248"/>
      <c r="AF244" s="248"/>
      <c r="AG244" s="248"/>
      <c r="AH244" s="248"/>
      <c r="AI244" s="248"/>
      <c r="AJ244" s="248"/>
      <c r="AK244" s="248"/>
      <c r="AL244" s="248"/>
      <c r="AM244" s="248"/>
      <c r="AN244" s="248"/>
      <c r="AO244" s="248"/>
      <c r="AP244" s="248"/>
      <c r="AQ244" s="248"/>
      <c r="AR244" s="248"/>
      <c r="AS244" s="248"/>
      <c r="AT244" s="248"/>
      <c r="AU244" s="248"/>
      <c r="AV244" s="248"/>
      <c r="AW244" s="248"/>
      <c r="AX244" s="248"/>
      <c r="AY244" s="248"/>
      <c r="AZ244" s="248"/>
      <c r="BA244" s="248"/>
      <c r="BB244" s="248"/>
      <c r="BC244" s="248"/>
      <c r="BD244" s="248"/>
      <c r="BE244" s="248"/>
      <c r="BF244" s="248"/>
      <c r="BG244" s="248"/>
      <c r="BH244" s="248"/>
      <c r="BI244" s="248"/>
      <c r="BJ244" s="248"/>
      <c r="BK244" s="248"/>
      <c r="BL244" s="248"/>
      <c r="BM244" s="248"/>
      <c r="BN244" s="248"/>
      <c r="BO244" s="248"/>
      <c r="BP244" s="248"/>
      <c r="BQ244" s="248"/>
      <c r="BR244" s="248"/>
      <c r="BS244" s="248"/>
      <c r="BT244" s="248"/>
      <c r="BU244" s="248"/>
      <c r="BV244" s="248"/>
      <c r="BW244" s="248"/>
      <c r="BX244" s="248"/>
      <c r="BY244" s="248"/>
      <c r="BZ244" s="248"/>
      <c r="CA244" s="248"/>
      <c r="CB244" s="248"/>
      <c r="CC244" s="248"/>
      <c r="CD244" s="248"/>
      <c r="CE244" s="248"/>
      <c r="CF244" s="248"/>
      <c r="CG244" s="248"/>
      <c r="CH244" s="248"/>
      <c r="CI244" s="248"/>
      <c r="CJ244" s="248"/>
      <c r="CK244" s="248"/>
      <c r="CL244" s="248"/>
      <c r="CM244" s="248"/>
      <c r="CN244" s="248"/>
      <c r="CO244" s="248"/>
      <c r="CP244" s="248"/>
      <c r="CQ244" s="248"/>
      <c r="CR244" s="248"/>
    </row>
    <row r="245" spans="1:96" s="249" customFormat="1" ht="60.75" customHeight="1">
      <c r="A245" s="243"/>
      <c r="B245" s="244" t="s">
        <v>844</v>
      </c>
      <c r="C245" s="8"/>
      <c r="D245" s="23">
        <v>178.3</v>
      </c>
      <c r="E245" s="23">
        <f t="shared" si="43"/>
        <v>189.821</v>
      </c>
      <c r="F245" s="167"/>
      <c r="G245" s="167"/>
      <c r="H245" s="167"/>
      <c r="I245" s="167"/>
      <c r="J245" s="23"/>
      <c r="K245" s="23"/>
      <c r="L245" s="23">
        <v>178.3</v>
      </c>
      <c r="M245" s="23">
        <v>189.821</v>
      </c>
      <c r="N245" s="23">
        <v>189.821</v>
      </c>
      <c r="O245" s="23"/>
      <c r="P245" s="23"/>
      <c r="Q245" s="23"/>
      <c r="R245" s="23"/>
      <c r="S245" s="205">
        <f t="shared" si="48"/>
        <v>-11.520999999999987</v>
      </c>
      <c r="T245" s="152"/>
      <c r="U245" s="247"/>
      <c r="V245" s="247"/>
      <c r="W245" s="28" t="s">
        <v>838</v>
      </c>
      <c r="X245" s="248"/>
      <c r="Y245" s="248"/>
      <c r="Z245" s="248"/>
      <c r="AA245" s="248"/>
      <c r="AB245" s="248"/>
      <c r="AC245" s="248"/>
      <c r="AD245" s="248"/>
      <c r="AE245" s="248"/>
      <c r="AF245" s="248"/>
      <c r="AG245" s="248"/>
      <c r="AH245" s="248"/>
      <c r="AI245" s="248"/>
      <c r="AJ245" s="248"/>
      <c r="AK245" s="248"/>
      <c r="AL245" s="248"/>
      <c r="AM245" s="248"/>
      <c r="AN245" s="248"/>
      <c r="AO245" s="248"/>
      <c r="AP245" s="248"/>
      <c r="AQ245" s="248"/>
      <c r="AR245" s="248"/>
      <c r="AS245" s="248"/>
      <c r="AT245" s="248"/>
      <c r="AU245" s="248"/>
      <c r="AV245" s="248"/>
      <c r="AW245" s="248"/>
      <c r="AX245" s="248"/>
      <c r="AY245" s="248"/>
      <c r="AZ245" s="248"/>
      <c r="BA245" s="248"/>
      <c r="BB245" s="248"/>
      <c r="BC245" s="248"/>
      <c r="BD245" s="248"/>
      <c r="BE245" s="248"/>
      <c r="BF245" s="248"/>
      <c r="BG245" s="248"/>
      <c r="BH245" s="248"/>
      <c r="BI245" s="248"/>
      <c r="BJ245" s="248"/>
      <c r="BK245" s="248"/>
      <c r="BL245" s="248"/>
      <c r="BM245" s="248"/>
      <c r="BN245" s="248"/>
      <c r="BO245" s="248"/>
      <c r="BP245" s="248"/>
      <c r="BQ245" s="248"/>
      <c r="BR245" s="248"/>
      <c r="BS245" s="248"/>
      <c r="BT245" s="248"/>
      <c r="BU245" s="248"/>
      <c r="BV245" s="248"/>
      <c r="BW245" s="248"/>
      <c r="BX245" s="248"/>
      <c r="BY245" s="248"/>
      <c r="BZ245" s="248"/>
      <c r="CA245" s="248"/>
      <c r="CB245" s="248"/>
      <c r="CC245" s="248"/>
      <c r="CD245" s="248"/>
      <c r="CE245" s="248"/>
      <c r="CF245" s="248"/>
      <c r="CG245" s="248"/>
      <c r="CH245" s="248"/>
      <c r="CI245" s="248"/>
      <c r="CJ245" s="248"/>
      <c r="CK245" s="248"/>
      <c r="CL245" s="248"/>
      <c r="CM245" s="248"/>
      <c r="CN245" s="248"/>
      <c r="CO245" s="248"/>
      <c r="CP245" s="248"/>
      <c r="CQ245" s="248"/>
      <c r="CR245" s="248"/>
    </row>
    <row r="246" spans="1:96" s="249" customFormat="1" ht="60.75" customHeight="1">
      <c r="A246" s="243"/>
      <c r="B246" s="244" t="s">
        <v>845</v>
      </c>
      <c r="C246" s="8"/>
      <c r="D246" s="23">
        <v>178.3</v>
      </c>
      <c r="E246" s="23">
        <f t="shared" si="43"/>
        <v>231.795</v>
      </c>
      <c r="F246" s="167"/>
      <c r="G246" s="167"/>
      <c r="H246" s="167"/>
      <c r="I246" s="167"/>
      <c r="J246" s="23"/>
      <c r="K246" s="23"/>
      <c r="L246" s="23">
        <v>178.3</v>
      </c>
      <c r="M246" s="23">
        <v>231.795</v>
      </c>
      <c r="N246" s="23">
        <v>231.795</v>
      </c>
      <c r="O246" s="23"/>
      <c r="P246" s="23"/>
      <c r="Q246" s="23"/>
      <c r="R246" s="23"/>
      <c r="S246" s="205">
        <f t="shared" si="48"/>
        <v>-53.494999999999976</v>
      </c>
      <c r="T246" s="152"/>
      <c r="U246" s="247"/>
      <c r="V246" s="247"/>
      <c r="W246" s="28" t="s">
        <v>838</v>
      </c>
      <c r="X246" s="248"/>
      <c r="Y246" s="248"/>
      <c r="Z246" s="248"/>
      <c r="AA246" s="248"/>
      <c r="AB246" s="248"/>
      <c r="AC246" s="248"/>
      <c r="AD246" s="248"/>
      <c r="AE246" s="248"/>
      <c r="AF246" s="248"/>
      <c r="AG246" s="248"/>
      <c r="AH246" s="248"/>
      <c r="AI246" s="248"/>
      <c r="AJ246" s="248"/>
      <c r="AK246" s="248"/>
      <c r="AL246" s="248"/>
      <c r="AM246" s="248"/>
      <c r="AN246" s="248"/>
      <c r="AO246" s="248"/>
      <c r="AP246" s="248"/>
      <c r="AQ246" s="248"/>
      <c r="AR246" s="248"/>
      <c r="AS246" s="248"/>
      <c r="AT246" s="248"/>
      <c r="AU246" s="248"/>
      <c r="AV246" s="248"/>
      <c r="AW246" s="248"/>
      <c r="AX246" s="248"/>
      <c r="AY246" s="248"/>
      <c r="AZ246" s="248"/>
      <c r="BA246" s="248"/>
      <c r="BB246" s="248"/>
      <c r="BC246" s="248"/>
      <c r="BD246" s="248"/>
      <c r="BE246" s="248"/>
      <c r="BF246" s="248"/>
      <c r="BG246" s="248"/>
      <c r="BH246" s="248"/>
      <c r="BI246" s="248"/>
      <c r="BJ246" s="248"/>
      <c r="BK246" s="248"/>
      <c r="BL246" s="248"/>
      <c r="BM246" s="248"/>
      <c r="BN246" s="248"/>
      <c r="BO246" s="248"/>
      <c r="BP246" s="248"/>
      <c r="BQ246" s="248"/>
      <c r="BR246" s="248"/>
      <c r="BS246" s="248"/>
      <c r="BT246" s="248"/>
      <c r="BU246" s="248"/>
      <c r="BV246" s="248"/>
      <c r="BW246" s="248"/>
      <c r="BX246" s="248"/>
      <c r="BY246" s="248"/>
      <c r="BZ246" s="248"/>
      <c r="CA246" s="248"/>
      <c r="CB246" s="248"/>
      <c r="CC246" s="248"/>
      <c r="CD246" s="248"/>
      <c r="CE246" s="248"/>
      <c r="CF246" s="248"/>
      <c r="CG246" s="248"/>
      <c r="CH246" s="248"/>
      <c r="CI246" s="248"/>
      <c r="CJ246" s="248"/>
      <c r="CK246" s="248"/>
      <c r="CL246" s="248"/>
      <c r="CM246" s="248"/>
      <c r="CN246" s="248"/>
      <c r="CO246" s="248"/>
      <c r="CP246" s="248"/>
      <c r="CQ246" s="248"/>
      <c r="CR246" s="248"/>
    </row>
    <row r="247" spans="1:96" s="249" customFormat="1" ht="23.25" customHeight="1">
      <c r="A247" s="243"/>
      <c r="B247" s="40" t="s">
        <v>121</v>
      </c>
      <c r="C247" s="3"/>
      <c r="D247" s="24">
        <v>178</v>
      </c>
      <c r="E247" s="24">
        <f>E248</f>
        <v>148.614</v>
      </c>
      <c r="F247" s="69"/>
      <c r="G247" s="69"/>
      <c r="H247" s="69"/>
      <c r="I247" s="69"/>
      <c r="J247" s="24"/>
      <c r="K247" s="24"/>
      <c r="L247" s="24">
        <v>178</v>
      </c>
      <c r="M247" s="24">
        <v>148.614</v>
      </c>
      <c r="N247" s="24">
        <v>148.614</v>
      </c>
      <c r="O247" s="24"/>
      <c r="P247" s="24"/>
      <c r="Q247" s="24"/>
      <c r="R247" s="24"/>
      <c r="S247" s="250">
        <f t="shared" si="48"/>
        <v>29.385999999999996</v>
      </c>
      <c r="T247" s="165"/>
      <c r="U247" s="251"/>
      <c r="V247" s="251"/>
      <c r="W247" s="30"/>
      <c r="X247" s="248"/>
      <c r="Y247" s="248"/>
      <c r="Z247" s="248"/>
      <c r="AA247" s="248"/>
      <c r="AB247" s="248"/>
      <c r="AC247" s="248"/>
      <c r="AD247" s="248"/>
      <c r="AE247" s="248"/>
      <c r="AF247" s="248"/>
      <c r="AG247" s="248"/>
      <c r="AH247" s="248"/>
      <c r="AI247" s="248"/>
      <c r="AJ247" s="248"/>
      <c r="AK247" s="248"/>
      <c r="AL247" s="248"/>
      <c r="AM247" s="248"/>
      <c r="AN247" s="248"/>
      <c r="AO247" s="248"/>
      <c r="AP247" s="248"/>
      <c r="AQ247" s="248"/>
      <c r="AR247" s="248"/>
      <c r="AS247" s="248"/>
      <c r="AT247" s="248"/>
      <c r="AU247" s="248"/>
      <c r="AV247" s="248"/>
      <c r="AW247" s="248"/>
      <c r="AX247" s="248"/>
      <c r="AY247" s="248"/>
      <c r="AZ247" s="248"/>
      <c r="BA247" s="248"/>
      <c r="BB247" s="248"/>
      <c r="BC247" s="248"/>
      <c r="BD247" s="248"/>
      <c r="BE247" s="248"/>
      <c r="BF247" s="248"/>
      <c r="BG247" s="248"/>
      <c r="BH247" s="248"/>
      <c r="BI247" s="248"/>
      <c r="BJ247" s="248"/>
      <c r="BK247" s="248"/>
      <c r="BL247" s="248"/>
      <c r="BM247" s="248"/>
      <c r="BN247" s="248"/>
      <c r="BO247" s="248"/>
      <c r="BP247" s="248"/>
      <c r="BQ247" s="248"/>
      <c r="BR247" s="248"/>
      <c r="BS247" s="248"/>
      <c r="BT247" s="248"/>
      <c r="BU247" s="248"/>
      <c r="BV247" s="248"/>
      <c r="BW247" s="248"/>
      <c r="BX247" s="248"/>
      <c r="BY247" s="248"/>
      <c r="BZ247" s="248"/>
      <c r="CA247" s="248"/>
      <c r="CB247" s="248"/>
      <c r="CC247" s="248"/>
      <c r="CD247" s="248"/>
      <c r="CE247" s="248"/>
      <c r="CF247" s="248"/>
      <c r="CG247" s="248"/>
      <c r="CH247" s="248"/>
      <c r="CI247" s="248"/>
      <c r="CJ247" s="248"/>
      <c r="CK247" s="248"/>
      <c r="CL247" s="248"/>
      <c r="CM247" s="248"/>
      <c r="CN247" s="248"/>
      <c r="CO247" s="248"/>
      <c r="CP247" s="248"/>
      <c r="CQ247" s="248"/>
      <c r="CR247" s="248"/>
    </row>
    <row r="248" spans="1:96" s="249" customFormat="1" ht="60.75" customHeight="1">
      <c r="A248" s="243"/>
      <c r="B248" s="177" t="s">
        <v>846</v>
      </c>
      <c r="C248" s="8"/>
      <c r="D248" s="23">
        <v>178</v>
      </c>
      <c r="E248" s="23">
        <v>148.614</v>
      </c>
      <c r="F248" s="167"/>
      <c r="G248" s="167"/>
      <c r="H248" s="167"/>
      <c r="I248" s="167"/>
      <c r="J248" s="23"/>
      <c r="K248" s="23"/>
      <c r="L248" s="23">
        <v>178</v>
      </c>
      <c r="M248" s="23">
        <v>148.614</v>
      </c>
      <c r="N248" s="23">
        <v>148.614</v>
      </c>
      <c r="O248" s="23"/>
      <c r="P248" s="23"/>
      <c r="Q248" s="23"/>
      <c r="R248" s="23"/>
      <c r="S248" s="205">
        <f t="shared" si="48"/>
        <v>29.385999999999996</v>
      </c>
      <c r="T248" s="152"/>
      <c r="U248" s="247"/>
      <c r="V248" s="247"/>
      <c r="W248" s="28" t="s">
        <v>838</v>
      </c>
      <c r="X248" s="248"/>
      <c r="Y248" s="248"/>
      <c r="Z248" s="248"/>
      <c r="AA248" s="248"/>
      <c r="AB248" s="248"/>
      <c r="AC248" s="248"/>
      <c r="AD248" s="248"/>
      <c r="AE248" s="248"/>
      <c r="AF248" s="248"/>
      <c r="AG248" s="248"/>
      <c r="AH248" s="248"/>
      <c r="AI248" s="248"/>
      <c r="AJ248" s="248"/>
      <c r="AK248" s="248"/>
      <c r="AL248" s="248"/>
      <c r="AM248" s="248"/>
      <c r="AN248" s="248"/>
      <c r="AO248" s="248"/>
      <c r="AP248" s="248"/>
      <c r="AQ248" s="248"/>
      <c r="AR248" s="248"/>
      <c r="AS248" s="248"/>
      <c r="AT248" s="248"/>
      <c r="AU248" s="248"/>
      <c r="AV248" s="248"/>
      <c r="AW248" s="248"/>
      <c r="AX248" s="248"/>
      <c r="AY248" s="248"/>
      <c r="AZ248" s="248"/>
      <c r="BA248" s="248"/>
      <c r="BB248" s="248"/>
      <c r="BC248" s="248"/>
      <c r="BD248" s="248"/>
      <c r="BE248" s="248"/>
      <c r="BF248" s="248"/>
      <c r="BG248" s="248"/>
      <c r="BH248" s="248"/>
      <c r="BI248" s="248"/>
      <c r="BJ248" s="248"/>
      <c r="BK248" s="248"/>
      <c r="BL248" s="248"/>
      <c r="BM248" s="248"/>
      <c r="BN248" s="248"/>
      <c r="BO248" s="248"/>
      <c r="BP248" s="248"/>
      <c r="BQ248" s="248"/>
      <c r="BR248" s="248"/>
      <c r="BS248" s="248"/>
      <c r="BT248" s="248"/>
      <c r="BU248" s="248"/>
      <c r="BV248" s="248"/>
      <c r="BW248" s="248"/>
      <c r="BX248" s="248"/>
      <c r="BY248" s="248"/>
      <c r="BZ248" s="248"/>
      <c r="CA248" s="248"/>
      <c r="CB248" s="248"/>
      <c r="CC248" s="248"/>
      <c r="CD248" s="248"/>
      <c r="CE248" s="248"/>
      <c r="CF248" s="248"/>
      <c r="CG248" s="248"/>
      <c r="CH248" s="248"/>
      <c r="CI248" s="248"/>
      <c r="CJ248" s="248"/>
      <c r="CK248" s="248"/>
      <c r="CL248" s="248"/>
      <c r="CM248" s="248"/>
      <c r="CN248" s="248"/>
      <c r="CO248" s="248"/>
      <c r="CP248" s="248"/>
      <c r="CQ248" s="248"/>
      <c r="CR248" s="248"/>
    </row>
    <row r="249" spans="1:96" s="249" customFormat="1" ht="23.25" customHeight="1">
      <c r="A249" s="243"/>
      <c r="B249" s="252" t="s">
        <v>47</v>
      </c>
      <c r="C249" s="8"/>
      <c r="D249" s="163">
        <f>F249+H249+J249+L249</f>
        <v>178</v>
      </c>
      <c r="E249" s="24">
        <f>G249+I249+K249+M249</f>
        <v>252.311</v>
      </c>
      <c r="F249" s="68">
        <f aca="true" t="shared" si="49" ref="F249:K249">F251</f>
        <v>0</v>
      </c>
      <c r="G249" s="68">
        <f t="shared" si="49"/>
        <v>0</v>
      </c>
      <c r="H249" s="68">
        <f t="shared" si="49"/>
        <v>0</v>
      </c>
      <c r="I249" s="68">
        <f t="shared" si="49"/>
        <v>0</v>
      </c>
      <c r="J249" s="69">
        <f t="shared" si="49"/>
        <v>178</v>
      </c>
      <c r="K249" s="69">
        <f t="shared" si="49"/>
        <v>252.311</v>
      </c>
      <c r="L249" s="246"/>
      <c r="M249" s="245"/>
      <c r="N249" s="69">
        <f>N251</f>
        <v>252.311</v>
      </c>
      <c r="O249" s="69"/>
      <c r="P249" s="152"/>
      <c r="Q249" s="152"/>
      <c r="R249" s="152"/>
      <c r="S249" s="69">
        <f>S251</f>
        <v>-74.311</v>
      </c>
      <c r="T249" s="152"/>
      <c r="U249" s="247"/>
      <c r="V249" s="247"/>
      <c r="W249" s="28"/>
      <c r="X249" s="248"/>
      <c r="Y249" s="248"/>
      <c r="Z249" s="248"/>
      <c r="AA249" s="248"/>
      <c r="AB249" s="248"/>
      <c r="AC249" s="248"/>
      <c r="AD249" s="248"/>
      <c r="AE249" s="248"/>
      <c r="AF249" s="248"/>
      <c r="AG249" s="248"/>
      <c r="AH249" s="248"/>
      <c r="AI249" s="248"/>
      <c r="AJ249" s="248"/>
      <c r="AK249" s="248"/>
      <c r="AL249" s="248"/>
      <c r="AM249" s="248"/>
      <c r="AN249" s="248"/>
      <c r="AO249" s="248"/>
      <c r="AP249" s="248"/>
      <c r="AQ249" s="248"/>
      <c r="AR249" s="248"/>
      <c r="AS249" s="248"/>
      <c r="AT249" s="248"/>
      <c r="AU249" s="248"/>
      <c r="AV249" s="248"/>
      <c r="AW249" s="248"/>
      <c r="AX249" s="248"/>
      <c r="AY249" s="248"/>
      <c r="AZ249" s="248"/>
      <c r="BA249" s="248"/>
      <c r="BB249" s="248"/>
      <c r="BC249" s="248"/>
      <c r="BD249" s="248"/>
      <c r="BE249" s="248"/>
      <c r="BF249" s="248"/>
      <c r="BG249" s="248"/>
      <c r="BH249" s="248"/>
      <c r="BI249" s="248"/>
      <c r="BJ249" s="248"/>
      <c r="BK249" s="248"/>
      <c r="BL249" s="248"/>
      <c r="BM249" s="248"/>
      <c r="BN249" s="248"/>
      <c r="BO249" s="248"/>
      <c r="BP249" s="248"/>
      <c r="BQ249" s="248"/>
      <c r="BR249" s="248"/>
      <c r="BS249" s="248"/>
      <c r="BT249" s="248"/>
      <c r="BU249" s="248"/>
      <c r="BV249" s="248"/>
      <c r="BW249" s="248"/>
      <c r="BX249" s="248"/>
      <c r="BY249" s="248"/>
      <c r="BZ249" s="248"/>
      <c r="CA249" s="248"/>
      <c r="CB249" s="248"/>
      <c r="CC249" s="248"/>
      <c r="CD249" s="248"/>
      <c r="CE249" s="248"/>
      <c r="CF249" s="248"/>
      <c r="CG249" s="248"/>
      <c r="CH249" s="248"/>
      <c r="CI249" s="248"/>
      <c r="CJ249" s="248"/>
      <c r="CK249" s="248"/>
      <c r="CL249" s="248"/>
      <c r="CM249" s="248"/>
      <c r="CN249" s="248"/>
      <c r="CO249" s="248"/>
      <c r="CP249" s="248"/>
      <c r="CQ249" s="248"/>
      <c r="CR249" s="248"/>
    </row>
    <row r="250" spans="1:96" s="249" customFormat="1" ht="15.75" customHeight="1">
      <c r="A250" s="243"/>
      <c r="B250" s="252" t="s">
        <v>727</v>
      </c>
      <c r="C250" s="253"/>
      <c r="D250" s="23"/>
      <c r="E250" s="23"/>
      <c r="F250" s="23"/>
      <c r="G250" s="23"/>
      <c r="H250" s="23"/>
      <c r="I250" s="23"/>
      <c r="J250" s="110"/>
      <c r="K250" s="167"/>
      <c r="L250" s="246"/>
      <c r="M250" s="245"/>
      <c r="N250" s="254"/>
      <c r="O250" s="23"/>
      <c r="P250" s="152"/>
      <c r="Q250" s="152"/>
      <c r="R250" s="152"/>
      <c r="S250" s="152"/>
      <c r="T250" s="152"/>
      <c r="U250" s="247"/>
      <c r="V250" s="247"/>
      <c r="W250" s="28"/>
      <c r="X250" s="248"/>
      <c r="Y250" s="248"/>
      <c r="Z250" s="248"/>
      <c r="AA250" s="248"/>
      <c r="AB250" s="248"/>
      <c r="AC250" s="248"/>
      <c r="AD250" s="248"/>
      <c r="AE250" s="248"/>
      <c r="AF250" s="248"/>
      <c r="AG250" s="248"/>
      <c r="AH250" s="248"/>
      <c r="AI250" s="248"/>
      <c r="AJ250" s="248"/>
      <c r="AK250" s="248"/>
      <c r="AL250" s="248"/>
      <c r="AM250" s="248"/>
      <c r="AN250" s="248"/>
      <c r="AO250" s="248"/>
      <c r="AP250" s="248"/>
      <c r="AQ250" s="248"/>
      <c r="AR250" s="248"/>
      <c r="AS250" s="248"/>
      <c r="AT250" s="248"/>
      <c r="AU250" s="248"/>
      <c r="AV250" s="248"/>
      <c r="AW250" s="248"/>
      <c r="AX250" s="248"/>
      <c r="AY250" s="248"/>
      <c r="AZ250" s="248"/>
      <c r="BA250" s="248"/>
      <c r="BB250" s="248"/>
      <c r="BC250" s="248"/>
      <c r="BD250" s="248"/>
      <c r="BE250" s="248"/>
      <c r="BF250" s="248"/>
      <c r="BG250" s="248"/>
      <c r="BH250" s="248"/>
      <c r="BI250" s="248"/>
      <c r="BJ250" s="248"/>
      <c r="BK250" s="248"/>
      <c r="BL250" s="248"/>
      <c r="BM250" s="248"/>
      <c r="BN250" s="248"/>
      <c r="BO250" s="248"/>
      <c r="BP250" s="248"/>
      <c r="BQ250" s="248"/>
      <c r="BR250" s="248"/>
      <c r="BS250" s="248"/>
      <c r="BT250" s="248"/>
      <c r="BU250" s="248"/>
      <c r="BV250" s="248"/>
      <c r="BW250" s="248"/>
      <c r="BX250" s="248"/>
      <c r="BY250" s="248"/>
      <c r="BZ250" s="248"/>
      <c r="CA250" s="248"/>
      <c r="CB250" s="248"/>
      <c r="CC250" s="248"/>
      <c r="CD250" s="248"/>
      <c r="CE250" s="248"/>
      <c r="CF250" s="248"/>
      <c r="CG250" s="248"/>
      <c r="CH250" s="248"/>
      <c r="CI250" s="248"/>
      <c r="CJ250" s="248"/>
      <c r="CK250" s="248"/>
      <c r="CL250" s="248"/>
      <c r="CM250" s="248"/>
      <c r="CN250" s="248"/>
      <c r="CO250" s="248"/>
      <c r="CP250" s="248"/>
      <c r="CQ250" s="248"/>
      <c r="CR250" s="248"/>
    </row>
    <row r="251" spans="1:96" s="249" customFormat="1" ht="43.5" customHeight="1">
      <c r="A251" s="243"/>
      <c r="B251" s="177" t="s">
        <v>847</v>
      </c>
      <c r="C251" s="8"/>
      <c r="D251" s="34">
        <f>F251+H251+J251+L251</f>
        <v>178</v>
      </c>
      <c r="E251" s="23">
        <f>G251+I251+K251+M251</f>
        <v>252.311</v>
      </c>
      <c r="F251" s="23"/>
      <c r="G251" s="23"/>
      <c r="H251" s="23"/>
      <c r="I251" s="23"/>
      <c r="J251" s="167">
        <v>178</v>
      </c>
      <c r="K251" s="167">
        <v>252.311</v>
      </c>
      <c r="L251" s="246"/>
      <c r="M251" s="245"/>
      <c r="N251" s="23">
        <v>252.311</v>
      </c>
      <c r="O251" s="23"/>
      <c r="P251" s="152"/>
      <c r="Q251" s="152"/>
      <c r="R251" s="152"/>
      <c r="S251" s="205">
        <f>D251-E251</f>
        <v>-74.311</v>
      </c>
      <c r="T251" s="152"/>
      <c r="U251" s="247"/>
      <c r="V251" s="247"/>
      <c r="W251" s="28" t="s">
        <v>723</v>
      </c>
      <c r="X251" s="248"/>
      <c r="Y251" s="248"/>
      <c r="Z251" s="248"/>
      <c r="AA251" s="248"/>
      <c r="AB251" s="248"/>
      <c r="AC251" s="248"/>
      <c r="AD251" s="248"/>
      <c r="AE251" s="248"/>
      <c r="AF251" s="248"/>
      <c r="AG251" s="248"/>
      <c r="AH251" s="248"/>
      <c r="AI251" s="248"/>
      <c r="AJ251" s="248"/>
      <c r="AK251" s="248"/>
      <c r="AL251" s="248"/>
      <c r="AM251" s="248"/>
      <c r="AN251" s="248"/>
      <c r="AO251" s="248"/>
      <c r="AP251" s="248"/>
      <c r="AQ251" s="248"/>
      <c r="AR251" s="248"/>
      <c r="AS251" s="248"/>
      <c r="AT251" s="248"/>
      <c r="AU251" s="248"/>
      <c r="AV251" s="248"/>
      <c r="AW251" s="248"/>
      <c r="AX251" s="248"/>
      <c r="AY251" s="248"/>
      <c r="AZ251" s="248"/>
      <c r="BA251" s="248"/>
      <c r="BB251" s="248"/>
      <c r="BC251" s="248"/>
      <c r="BD251" s="248"/>
      <c r="BE251" s="248"/>
      <c r="BF251" s="248"/>
      <c r="BG251" s="248"/>
      <c r="BH251" s="248"/>
      <c r="BI251" s="248"/>
      <c r="BJ251" s="248"/>
      <c r="BK251" s="248"/>
      <c r="BL251" s="248"/>
      <c r="BM251" s="248"/>
      <c r="BN251" s="248"/>
      <c r="BO251" s="248"/>
      <c r="BP251" s="248"/>
      <c r="BQ251" s="248"/>
      <c r="BR251" s="248"/>
      <c r="BS251" s="248"/>
      <c r="BT251" s="248"/>
      <c r="BU251" s="248"/>
      <c r="BV251" s="248"/>
      <c r="BW251" s="248"/>
      <c r="BX251" s="248"/>
      <c r="BY251" s="248"/>
      <c r="BZ251" s="248"/>
      <c r="CA251" s="248"/>
      <c r="CB251" s="248"/>
      <c r="CC251" s="248"/>
      <c r="CD251" s="248"/>
      <c r="CE251" s="248"/>
      <c r="CF251" s="248"/>
      <c r="CG251" s="248"/>
      <c r="CH251" s="248"/>
      <c r="CI251" s="248"/>
      <c r="CJ251" s="248"/>
      <c r="CK251" s="248"/>
      <c r="CL251" s="248"/>
      <c r="CM251" s="248"/>
      <c r="CN251" s="248"/>
      <c r="CO251" s="248"/>
      <c r="CP251" s="248"/>
      <c r="CQ251" s="248"/>
      <c r="CR251" s="248"/>
    </row>
    <row r="252" spans="1:96" s="260" customFormat="1" ht="29.25" customHeight="1">
      <c r="A252" s="255"/>
      <c r="B252" s="252" t="s">
        <v>145</v>
      </c>
      <c r="C252" s="139"/>
      <c r="D252" s="24">
        <f>F252+H252+J252+L252</f>
        <v>178</v>
      </c>
      <c r="E252" s="24">
        <f>G252+I252+K252+M252</f>
        <v>166.102</v>
      </c>
      <c r="F252" s="256">
        <f aca="true" t="shared" si="50" ref="F252:N252">F254</f>
        <v>0</v>
      </c>
      <c r="G252" s="256">
        <f t="shared" si="50"/>
        <v>0</v>
      </c>
      <c r="H252" s="256">
        <f t="shared" si="50"/>
        <v>178</v>
      </c>
      <c r="I252" s="257">
        <f t="shared" si="50"/>
        <v>166.102</v>
      </c>
      <c r="J252" s="256">
        <f t="shared" si="50"/>
        <v>0</v>
      </c>
      <c r="K252" s="256">
        <f t="shared" si="50"/>
        <v>0</v>
      </c>
      <c r="L252" s="256">
        <f t="shared" si="50"/>
        <v>0</v>
      </c>
      <c r="M252" s="256">
        <f t="shared" si="50"/>
        <v>0</v>
      </c>
      <c r="N252" s="257">
        <f t="shared" si="50"/>
        <v>166.102</v>
      </c>
      <c r="O252" s="256"/>
      <c r="P252" s="256"/>
      <c r="Q252" s="256"/>
      <c r="R252" s="256"/>
      <c r="S252" s="183">
        <f>S254</f>
        <v>11.897999999999996</v>
      </c>
      <c r="T252" s="220"/>
      <c r="U252" s="255"/>
      <c r="V252" s="258"/>
      <c r="W252" s="139"/>
      <c r="X252" s="259"/>
      <c r="Y252" s="259"/>
      <c r="Z252" s="259"/>
      <c r="AA252" s="259"/>
      <c r="AB252" s="259"/>
      <c r="AC252" s="259"/>
      <c r="AD252" s="259"/>
      <c r="AE252" s="259"/>
      <c r="AF252" s="259"/>
      <c r="AG252" s="259"/>
      <c r="AH252" s="259"/>
      <c r="AI252" s="259"/>
      <c r="AJ252" s="259"/>
      <c r="AK252" s="259"/>
      <c r="AL252" s="259"/>
      <c r="AM252" s="259"/>
      <c r="AN252" s="259"/>
      <c r="AO252" s="259"/>
      <c r="AP252" s="259"/>
      <c r="AQ252" s="259"/>
      <c r="AR252" s="259"/>
      <c r="AS252" s="259"/>
      <c r="AT252" s="259"/>
      <c r="AU252" s="259"/>
      <c r="AV252" s="259"/>
      <c r="AW252" s="259"/>
      <c r="AX252" s="259"/>
      <c r="AY252" s="259"/>
      <c r="AZ252" s="259"/>
      <c r="BA252" s="259"/>
      <c r="BB252" s="259"/>
      <c r="BC252" s="259"/>
      <c r="BD252" s="259"/>
      <c r="BE252" s="259"/>
      <c r="BF252" s="259"/>
      <c r="BG252" s="259"/>
      <c r="BH252" s="259"/>
      <c r="BI252" s="259"/>
      <c r="BJ252" s="259"/>
      <c r="BK252" s="259"/>
      <c r="BL252" s="259"/>
      <c r="BM252" s="259"/>
      <c r="BN252" s="259"/>
      <c r="BO252" s="259"/>
      <c r="BP252" s="259"/>
      <c r="BQ252" s="259"/>
      <c r="BR252" s="259"/>
      <c r="BS252" s="259"/>
      <c r="BT252" s="259"/>
      <c r="BU252" s="259"/>
      <c r="BV252" s="259"/>
      <c r="BW252" s="259"/>
      <c r="BX252" s="259"/>
      <c r="BY252" s="259"/>
      <c r="BZ252" s="259"/>
      <c r="CA252" s="259"/>
      <c r="CB252" s="259"/>
      <c r="CC252" s="259"/>
      <c r="CD252" s="259"/>
      <c r="CE252" s="259"/>
      <c r="CF252" s="259"/>
      <c r="CG252" s="259"/>
      <c r="CH252" s="259"/>
      <c r="CI252" s="259"/>
      <c r="CJ252" s="259"/>
      <c r="CK252" s="259"/>
      <c r="CL252" s="259"/>
      <c r="CM252" s="259"/>
      <c r="CN252" s="259"/>
      <c r="CO252" s="259"/>
      <c r="CP252" s="259"/>
      <c r="CQ252" s="259"/>
      <c r="CR252" s="259"/>
    </row>
    <row r="253" spans="1:96" s="268" customFormat="1" ht="20.25" customHeight="1">
      <c r="A253" s="255"/>
      <c r="B253" s="252" t="s">
        <v>766</v>
      </c>
      <c r="C253" s="190"/>
      <c r="D253" s="261"/>
      <c r="E253" s="262"/>
      <c r="F253" s="261"/>
      <c r="G253" s="262"/>
      <c r="H253" s="263"/>
      <c r="I253" s="190"/>
      <c r="J253" s="190"/>
      <c r="K253" s="190"/>
      <c r="L253" s="191"/>
      <c r="M253" s="190"/>
      <c r="N253" s="264"/>
      <c r="O253" s="262"/>
      <c r="P253" s="153"/>
      <c r="Q253" s="153"/>
      <c r="R253" s="153"/>
      <c r="S253" s="172"/>
      <c r="T253" s="153"/>
      <c r="U253" s="265"/>
      <c r="V253" s="266"/>
      <c r="W253" s="190"/>
      <c r="X253" s="267"/>
      <c r="Y253" s="267"/>
      <c r="Z253" s="267"/>
      <c r="AA253" s="267"/>
      <c r="AB253" s="267"/>
      <c r="AC253" s="267"/>
      <c r="AD253" s="267"/>
      <c r="AE253" s="267"/>
      <c r="AF253" s="267"/>
      <c r="AG253" s="267"/>
      <c r="AH253" s="267"/>
      <c r="AI253" s="267"/>
      <c r="AJ253" s="267"/>
      <c r="AK253" s="267"/>
      <c r="AL253" s="267"/>
      <c r="AM253" s="267"/>
      <c r="AN253" s="267"/>
      <c r="AO253" s="267"/>
      <c r="AP253" s="267"/>
      <c r="AQ253" s="267"/>
      <c r="AR253" s="267"/>
      <c r="AS253" s="267"/>
      <c r="AT253" s="267"/>
      <c r="AU253" s="267"/>
      <c r="AV253" s="267"/>
      <c r="AW253" s="267"/>
      <c r="AX253" s="267"/>
      <c r="AY253" s="267"/>
      <c r="AZ253" s="267"/>
      <c r="BA253" s="267"/>
      <c r="BB253" s="267"/>
      <c r="BC253" s="267"/>
      <c r="BD253" s="267"/>
      <c r="BE253" s="267"/>
      <c r="BF253" s="267"/>
      <c r="BG253" s="267"/>
      <c r="BH253" s="267"/>
      <c r="BI253" s="267"/>
      <c r="BJ253" s="267"/>
      <c r="BK253" s="267"/>
      <c r="BL253" s="267"/>
      <c r="BM253" s="267"/>
      <c r="BN253" s="267"/>
      <c r="BO253" s="267"/>
      <c r="BP253" s="267"/>
      <c r="BQ253" s="267"/>
      <c r="BR253" s="267"/>
      <c r="BS253" s="267"/>
      <c r="BT253" s="267"/>
      <c r="BU253" s="267"/>
      <c r="BV253" s="267"/>
      <c r="BW253" s="267"/>
      <c r="BX253" s="267"/>
      <c r="BY253" s="267"/>
      <c r="BZ253" s="267"/>
      <c r="CA253" s="267"/>
      <c r="CB253" s="267"/>
      <c r="CC253" s="267"/>
      <c r="CD253" s="267"/>
      <c r="CE253" s="267"/>
      <c r="CF253" s="267"/>
      <c r="CG253" s="267"/>
      <c r="CH253" s="267"/>
      <c r="CI253" s="267"/>
      <c r="CJ253" s="267"/>
      <c r="CK253" s="267"/>
      <c r="CL253" s="267"/>
      <c r="CM253" s="267"/>
      <c r="CN253" s="267"/>
      <c r="CO253" s="267"/>
      <c r="CP253" s="267"/>
      <c r="CQ253" s="267"/>
      <c r="CR253" s="267"/>
    </row>
    <row r="254" spans="1:96" s="268" customFormat="1" ht="48" customHeight="1">
      <c r="A254" s="255"/>
      <c r="B254" s="269" t="s">
        <v>848</v>
      </c>
      <c r="C254" s="190"/>
      <c r="D254" s="34">
        <f>F254+H254+J254+L254</f>
        <v>178</v>
      </c>
      <c r="E254" s="23">
        <f>G254+I254+K254+M254</f>
        <v>166.102</v>
      </c>
      <c r="F254" s="261"/>
      <c r="G254" s="262"/>
      <c r="H254" s="23">
        <v>178</v>
      </c>
      <c r="I254" s="262">
        <v>166.102</v>
      </c>
      <c r="J254" s="190"/>
      <c r="K254" s="190"/>
      <c r="L254" s="191"/>
      <c r="M254" s="190"/>
      <c r="N254" s="262">
        <v>166.102</v>
      </c>
      <c r="O254" s="262"/>
      <c r="P254" s="153"/>
      <c r="Q254" s="153"/>
      <c r="R254" s="153"/>
      <c r="S254" s="205">
        <f>D254-E254</f>
        <v>11.897999999999996</v>
      </c>
      <c r="T254" s="153"/>
      <c r="U254" s="265"/>
      <c r="V254" s="266"/>
      <c r="W254" s="28" t="s">
        <v>838</v>
      </c>
      <c r="X254" s="267"/>
      <c r="Y254" s="267"/>
      <c r="Z254" s="267"/>
      <c r="AA254" s="267"/>
      <c r="AB254" s="267"/>
      <c r="AC254" s="267"/>
      <c r="AD254" s="267"/>
      <c r="AE254" s="267"/>
      <c r="AF254" s="267"/>
      <c r="AG254" s="267"/>
      <c r="AH254" s="267"/>
      <c r="AI254" s="267"/>
      <c r="AJ254" s="267"/>
      <c r="AK254" s="267"/>
      <c r="AL254" s="267"/>
      <c r="AM254" s="267"/>
      <c r="AN254" s="267"/>
      <c r="AO254" s="267"/>
      <c r="AP254" s="267"/>
      <c r="AQ254" s="267"/>
      <c r="AR254" s="267"/>
      <c r="AS254" s="267"/>
      <c r="AT254" s="267"/>
      <c r="AU254" s="267"/>
      <c r="AV254" s="267"/>
      <c r="AW254" s="267"/>
      <c r="AX254" s="267"/>
      <c r="AY254" s="267"/>
      <c r="AZ254" s="267"/>
      <c r="BA254" s="267"/>
      <c r="BB254" s="267"/>
      <c r="BC254" s="267"/>
      <c r="BD254" s="267"/>
      <c r="BE254" s="267"/>
      <c r="BF254" s="267"/>
      <c r="BG254" s="267"/>
      <c r="BH254" s="267"/>
      <c r="BI254" s="267"/>
      <c r="BJ254" s="267"/>
      <c r="BK254" s="267"/>
      <c r="BL254" s="267"/>
      <c r="BM254" s="267"/>
      <c r="BN254" s="267"/>
      <c r="BO254" s="267"/>
      <c r="BP254" s="267"/>
      <c r="BQ254" s="267"/>
      <c r="BR254" s="267"/>
      <c r="BS254" s="267"/>
      <c r="BT254" s="267"/>
      <c r="BU254" s="267"/>
      <c r="BV254" s="267"/>
      <c r="BW254" s="267"/>
      <c r="BX254" s="267"/>
      <c r="BY254" s="267"/>
      <c r="BZ254" s="267"/>
      <c r="CA254" s="267"/>
      <c r="CB254" s="267"/>
      <c r="CC254" s="267"/>
      <c r="CD254" s="267"/>
      <c r="CE254" s="267"/>
      <c r="CF254" s="267"/>
      <c r="CG254" s="267"/>
      <c r="CH254" s="267"/>
      <c r="CI254" s="267"/>
      <c r="CJ254" s="267"/>
      <c r="CK254" s="267"/>
      <c r="CL254" s="267"/>
      <c r="CM254" s="267"/>
      <c r="CN254" s="267"/>
      <c r="CO254" s="267"/>
      <c r="CP254" s="267"/>
      <c r="CQ254" s="267"/>
      <c r="CR254" s="267"/>
    </row>
    <row r="255" spans="1:96" s="260" customFormat="1" ht="29.25" customHeight="1">
      <c r="A255" s="255"/>
      <c r="B255" s="252" t="s">
        <v>150</v>
      </c>
      <c r="C255" s="139"/>
      <c r="D255" s="24">
        <f>F255+H255+J255+L255</f>
        <v>178</v>
      </c>
      <c r="E255" s="24">
        <f>G255+I255+K255+M255</f>
        <v>188.601</v>
      </c>
      <c r="F255" s="256">
        <f aca="true" t="shared" si="51" ref="F255:N255">F257</f>
        <v>0</v>
      </c>
      <c r="G255" s="256">
        <f t="shared" si="51"/>
        <v>0</v>
      </c>
      <c r="H255" s="256">
        <f t="shared" si="51"/>
        <v>0</v>
      </c>
      <c r="I255" s="257">
        <f t="shared" si="51"/>
        <v>0</v>
      </c>
      <c r="J255" s="256">
        <f t="shared" si="51"/>
        <v>0</v>
      </c>
      <c r="K255" s="256">
        <f t="shared" si="51"/>
        <v>0</v>
      </c>
      <c r="L255" s="256">
        <f t="shared" si="51"/>
        <v>178</v>
      </c>
      <c r="M255" s="256">
        <f t="shared" si="51"/>
        <v>188.601</v>
      </c>
      <c r="N255" s="257">
        <f t="shared" si="51"/>
        <v>188.601</v>
      </c>
      <c r="O255" s="256"/>
      <c r="P255" s="256"/>
      <c r="Q255" s="256"/>
      <c r="R255" s="256"/>
      <c r="S255" s="183">
        <f>S257</f>
        <v>-10.600999999999999</v>
      </c>
      <c r="T255" s="220"/>
      <c r="U255" s="255"/>
      <c r="V255" s="258"/>
      <c r="W255" s="139"/>
      <c r="X255" s="259"/>
      <c r="Y255" s="259"/>
      <c r="Z255" s="259"/>
      <c r="AA255" s="259"/>
      <c r="AB255" s="259"/>
      <c r="AC255" s="259"/>
      <c r="AD255" s="259"/>
      <c r="AE255" s="259"/>
      <c r="AF255" s="259"/>
      <c r="AG255" s="259"/>
      <c r="AH255" s="259"/>
      <c r="AI255" s="259"/>
      <c r="AJ255" s="259"/>
      <c r="AK255" s="259"/>
      <c r="AL255" s="259"/>
      <c r="AM255" s="259"/>
      <c r="AN255" s="259"/>
      <c r="AO255" s="259"/>
      <c r="AP255" s="259"/>
      <c r="AQ255" s="259"/>
      <c r="AR255" s="259"/>
      <c r="AS255" s="259"/>
      <c r="AT255" s="259"/>
      <c r="AU255" s="259"/>
      <c r="AV255" s="259"/>
      <c r="AW255" s="259"/>
      <c r="AX255" s="259"/>
      <c r="AY255" s="259"/>
      <c r="AZ255" s="259"/>
      <c r="BA255" s="259"/>
      <c r="BB255" s="259"/>
      <c r="BC255" s="259"/>
      <c r="BD255" s="259"/>
      <c r="BE255" s="259"/>
      <c r="BF255" s="259"/>
      <c r="BG255" s="259"/>
      <c r="BH255" s="259"/>
      <c r="BI255" s="259"/>
      <c r="BJ255" s="259"/>
      <c r="BK255" s="259"/>
      <c r="BL255" s="259"/>
      <c r="BM255" s="259"/>
      <c r="BN255" s="259"/>
      <c r="BO255" s="259"/>
      <c r="BP255" s="259"/>
      <c r="BQ255" s="259"/>
      <c r="BR255" s="259"/>
      <c r="BS255" s="259"/>
      <c r="BT255" s="259"/>
      <c r="BU255" s="259"/>
      <c r="BV255" s="259"/>
      <c r="BW255" s="259"/>
      <c r="BX255" s="259"/>
      <c r="BY255" s="259"/>
      <c r="BZ255" s="259"/>
      <c r="CA255" s="259"/>
      <c r="CB255" s="259"/>
      <c r="CC255" s="259"/>
      <c r="CD255" s="259"/>
      <c r="CE255" s="259"/>
      <c r="CF255" s="259"/>
      <c r="CG255" s="259"/>
      <c r="CH255" s="259"/>
      <c r="CI255" s="259"/>
      <c r="CJ255" s="259"/>
      <c r="CK255" s="259"/>
      <c r="CL255" s="259"/>
      <c r="CM255" s="259"/>
      <c r="CN255" s="259"/>
      <c r="CO255" s="259"/>
      <c r="CP255" s="259"/>
      <c r="CQ255" s="259"/>
      <c r="CR255" s="259"/>
    </row>
    <row r="256" spans="1:96" s="268" customFormat="1" ht="20.25" customHeight="1">
      <c r="A256" s="255"/>
      <c r="B256" s="252" t="s">
        <v>849</v>
      </c>
      <c r="C256" s="190"/>
      <c r="D256" s="261"/>
      <c r="E256" s="262"/>
      <c r="F256" s="261"/>
      <c r="G256" s="262"/>
      <c r="H256" s="263"/>
      <c r="I256" s="190"/>
      <c r="J256" s="190"/>
      <c r="K256" s="190"/>
      <c r="L256" s="191"/>
      <c r="M256" s="190"/>
      <c r="N256" s="264"/>
      <c r="O256" s="262"/>
      <c r="P256" s="153"/>
      <c r="Q256" s="153"/>
      <c r="R256" s="153"/>
      <c r="S256" s="172"/>
      <c r="T256" s="153"/>
      <c r="U256" s="265"/>
      <c r="V256" s="266"/>
      <c r="W256" s="190"/>
      <c r="X256" s="267"/>
      <c r="Y256" s="267"/>
      <c r="Z256" s="267"/>
      <c r="AA256" s="267"/>
      <c r="AB256" s="267"/>
      <c r="AC256" s="267"/>
      <c r="AD256" s="267"/>
      <c r="AE256" s="267"/>
      <c r="AF256" s="267"/>
      <c r="AG256" s="267"/>
      <c r="AH256" s="267"/>
      <c r="AI256" s="267"/>
      <c r="AJ256" s="267"/>
      <c r="AK256" s="267"/>
      <c r="AL256" s="267"/>
      <c r="AM256" s="267"/>
      <c r="AN256" s="267"/>
      <c r="AO256" s="267"/>
      <c r="AP256" s="267"/>
      <c r="AQ256" s="267"/>
      <c r="AR256" s="267"/>
      <c r="AS256" s="267"/>
      <c r="AT256" s="267"/>
      <c r="AU256" s="267"/>
      <c r="AV256" s="267"/>
      <c r="AW256" s="267"/>
      <c r="AX256" s="267"/>
      <c r="AY256" s="267"/>
      <c r="AZ256" s="267"/>
      <c r="BA256" s="267"/>
      <c r="BB256" s="267"/>
      <c r="BC256" s="267"/>
      <c r="BD256" s="267"/>
      <c r="BE256" s="267"/>
      <c r="BF256" s="267"/>
      <c r="BG256" s="267"/>
      <c r="BH256" s="267"/>
      <c r="BI256" s="267"/>
      <c r="BJ256" s="267"/>
      <c r="BK256" s="267"/>
      <c r="BL256" s="267"/>
      <c r="BM256" s="267"/>
      <c r="BN256" s="267"/>
      <c r="BO256" s="267"/>
      <c r="BP256" s="267"/>
      <c r="BQ256" s="267"/>
      <c r="BR256" s="267"/>
      <c r="BS256" s="267"/>
      <c r="BT256" s="267"/>
      <c r="BU256" s="267"/>
      <c r="BV256" s="267"/>
      <c r="BW256" s="267"/>
      <c r="BX256" s="267"/>
      <c r="BY256" s="267"/>
      <c r="BZ256" s="267"/>
      <c r="CA256" s="267"/>
      <c r="CB256" s="267"/>
      <c r="CC256" s="267"/>
      <c r="CD256" s="267"/>
      <c r="CE256" s="267"/>
      <c r="CF256" s="267"/>
      <c r="CG256" s="267"/>
      <c r="CH256" s="267"/>
      <c r="CI256" s="267"/>
      <c r="CJ256" s="267"/>
      <c r="CK256" s="267"/>
      <c r="CL256" s="267"/>
      <c r="CM256" s="267"/>
      <c r="CN256" s="267"/>
      <c r="CO256" s="267"/>
      <c r="CP256" s="267"/>
      <c r="CQ256" s="267"/>
      <c r="CR256" s="267"/>
    </row>
    <row r="257" spans="2:97" s="40" customFormat="1" ht="42" customHeight="1">
      <c r="B257" s="244" t="s">
        <v>850</v>
      </c>
      <c r="C257" s="8"/>
      <c r="D257" s="34">
        <f>F257+H257+J257+L257</f>
        <v>178</v>
      </c>
      <c r="E257" s="23">
        <f>G257+I257+K257+M257</f>
        <v>188.601</v>
      </c>
      <c r="F257" s="23"/>
      <c r="G257" s="23"/>
      <c r="H257" s="34"/>
      <c r="I257" s="8"/>
      <c r="J257" s="8"/>
      <c r="K257" s="3"/>
      <c r="L257" s="141">
        <v>178</v>
      </c>
      <c r="M257" s="141">
        <v>188.601</v>
      </c>
      <c r="N257" s="23">
        <f>E257</f>
        <v>188.601</v>
      </c>
      <c r="O257" s="23"/>
      <c r="P257" s="152"/>
      <c r="Q257" s="152"/>
      <c r="R257" s="165"/>
      <c r="S257" s="205">
        <f>D257-E257</f>
        <v>-10.600999999999999</v>
      </c>
      <c r="T257" s="165"/>
      <c r="W257" s="28" t="s">
        <v>838</v>
      </c>
      <c r="X257" s="175"/>
      <c r="Y257" s="175"/>
      <c r="Z257" s="175"/>
      <c r="AA257" s="175"/>
      <c r="AB257" s="175"/>
      <c r="AC257" s="175"/>
      <c r="AD257" s="175"/>
      <c r="AE257" s="175"/>
      <c r="AF257" s="175"/>
      <c r="AG257" s="175"/>
      <c r="AH257" s="175"/>
      <c r="AI257" s="175"/>
      <c r="AJ257" s="175"/>
      <c r="AK257" s="175"/>
      <c r="AL257" s="175"/>
      <c r="AM257" s="175"/>
      <c r="AN257" s="175"/>
      <c r="AO257" s="175"/>
      <c r="AP257" s="175"/>
      <c r="AQ257" s="175"/>
      <c r="AR257" s="175"/>
      <c r="AS257" s="175"/>
      <c r="AT257" s="175"/>
      <c r="AU257" s="175"/>
      <c r="AV257" s="175"/>
      <c r="AW257" s="175"/>
      <c r="AX257" s="175"/>
      <c r="AY257" s="175"/>
      <c r="AZ257" s="175"/>
      <c r="BA257" s="175"/>
      <c r="BB257" s="175"/>
      <c r="BC257" s="175"/>
      <c r="BD257" s="175"/>
      <c r="BE257" s="175"/>
      <c r="BF257" s="175"/>
      <c r="BG257" s="175"/>
      <c r="BH257" s="175"/>
      <c r="BI257" s="175"/>
      <c r="BJ257" s="175"/>
      <c r="BK257" s="175"/>
      <c r="BL257" s="175"/>
      <c r="BM257" s="175"/>
      <c r="BN257" s="175"/>
      <c r="BO257" s="175"/>
      <c r="BP257" s="175"/>
      <c r="BQ257" s="175"/>
      <c r="BR257" s="175"/>
      <c r="BS257" s="175"/>
      <c r="BT257" s="175"/>
      <c r="BU257" s="175"/>
      <c r="BV257" s="175"/>
      <c r="BW257" s="175"/>
      <c r="BX257" s="175"/>
      <c r="BY257" s="175"/>
      <c r="BZ257" s="175"/>
      <c r="CA257" s="175"/>
      <c r="CB257" s="175"/>
      <c r="CC257" s="175"/>
      <c r="CD257" s="175"/>
      <c r="CE257" s="175"/>
      <c r="CF257" s="175"/>
      <c r="CG257" s="175"/>
      <c r="CH257" s="175"/>
      <c r="CI257" s="175"/>
      <c r="CJ257" s="175"/>
      <c r="CK257" s="175"/>
      <c r="CL257" s="175"/>
      <c r="CM257" s="175"/>
      <c r="CN257" s="175"/>
      <c r="CO257" s="175"/>
      <c r="CP257" s="175"/>
      <c r="CQ257" s="175"/>
      <c r="CR257" s="175"/>
      <c r="CS257" s="176"/>
    </row>
    <row r="258" spans="1:96" s="181" customFormat="1" ht="19.5" customHeight="1">
      <c r="A258" s="178"/>
      <c r="B258" s="40" t="s">
        <v>156</v>
      </c>
      <c r="C258" s="182"/>
      <c r="D258" s="163">
        <f>F258+H258+J258+L258</f>
        <v>178</v>
      </c>
      <c r="E258" s="24">
        <v>157.125</v>
      </c>
      <c r="F258" s="163">
        <f>F260</f>
        <v>178</v>
      </c>
      <c r="G258" s="24">
        <f aca="true" t="shared" si="52" ref="G258:N258">G260+G262+G264</f>
        <v>157.125</v>
      </c>
      <c r="H258" s="163">
        <f t="shared" si="52"/>
        <v>0</v>
      </c>
      <c r="I258" s="163">
        <f t="shared" si="52"/>
        <v>0</v>
      </c>
      <c r="J258" s="163">
        <f t="shared" si="52"/>
        <v>0</v>
      </c>
      <c r="K258" s="163">
        <f t="shared" si="52"/>
        <v>0</v>
      </c>
      <c r="L258" s="163">
        <f t="shared" si="52"/>
        <v>0</v>
      </c>
      <c r="M258" s="163">
        <f t="shared" si="52"/>
        <v>0</v>
      </c>
      <c r="N258" s="24">
        <f t="shared" si="52"/>
        <v>157.125</v>
      </c>
      <c r="O258" s="163"/>
      <c r="P258" s="165"/>
      <c r="Q258" s="165"/>
      <c r="R258" s="187"/>
      <c r="S258" s="250">
        <f>D258-E258</f>
        <v>20.875</v>
      </c>
      <c r="T258" s="187"/>
      <c r="U258" s="188"/>
      <c r="V258" s="188"/>
      <c r="W258" s="188"/>
      <c r="X258" s="180"/>
      <c r="Y258" s="180"/>
      <c r="Z258" s="180"/>
      <c r="AA258" s="180"/>
      <c r="AB258" s="180"/>
      <c r="AC258" s="180"/>
      <c r="AD258" s="180"/>
      <c r="AE258" s="180"/>
      <c r="AF258" s="180"/>
      <c r="AG258" s="180"/>
      <c r="AH258" s="180"/>
      <c r="AI258" s="180"/>
      <c r="AJ258" s="180"/>
      <c r="AK258" s="180"/>
      <c r="AL258" s="180"/>
      <c r="AM258" s="180"/>
      <c r="AN258" s="180"/>
      <c r="AO258" s="180"/>
      <c r="AP258" s="180"/>
      <c r="AQ258" s="180"/>
      <c r="AR258" s="180"/>
      <c r="AS258" s="180"/>
      <c r="AT258" s="180"/>
      <c r="AU258" s="180"/>
      <c r="AV258" s="180"/>
      <c r="AW258" s="180"/>
      <c r="AX258" s="180"/>
      <c r="AY258" s="180"/>
      <c r="AZ258" s="180"/>
      <c r="BA258" s="180"/>
      <c r="BB258" s="180"/>
      <c r="BC258" s="180"/>
      <c r="BD258" s="180"/>
      <c r="BE258" s="180"/>
      <c r="BF258" s="180"/>
      <c r="BG258" s="180"/>
      <c r="BH258" s="180"/>
      <c r="BI258" s="180"/>
      <c r="BJ258" s="180"/>
      <c r="BK258" s="180"/>
      <c r="BL258" s="180"/>
      <c r="BM258" s="180"/>
      <c r="BN258" s="180"/>
      <c r="BO258" s="180"/>
      <c r="BP258" s="180"/>
      <c r="BQ258" s="180"/>
      <c r="BR258" s="180"/>
      <c r="BS258" s="180"/>
      <c r="BT258" s="180"/>
      <c r="BU258" s="180"/>
      <c r="BV258" s="180"/>
      <c r="BW258" s="180"/>
      <c r="BX258" s="180"/>
      <c r="BY258" s="180"/>
      <c r="BZ258" s="180"/>
      <c r="CA258" s="180"/>
      <c r="CB258" s="180"/>
      <c r="CC258" s="180"/>
      <c r="CD258" s="180"/>
      <c r="CE258" s="180"/>
      <c r="CF258" s="180"/>
      <c r="CG258" s="180"/>
      <c r="CH258" s="180"/>
      <c r="CI258" s="180"/>
      <c r="CJ258" s="180"/>
      <c r="CK258" s="180"/>
      <c r="CL258" s="180"/>
      <c r="CM258" s="180"/>
      <c r="CN258" s="180"/>
      <c r="CO258" s="180"/>
      <c r="CP258" s="180"/>
      <c r="CQ258" s="180"/>
      <c r="CR258" s="180"/>
    </row>
    <row r="259" spans="1:96" s="181" customFormat="1" ht="19.5" customHeight="1">
      <c r="A259" s="178"/>
      <c r="B259" s="40" t="s">
        <v>791</v>
      </c>
      <c r="C259" s="182"/>
      <c r="D259" s="270"/>
      <c r="E259" s="270"/>
      <c r="F259" s="270"/>
      <c r="G259" s="24"/>
      <c r="H259" s="163"/>
      <c r="I259" s="271"/>
      <c r="J259" s="271"/>
      <c r="K259" s="271"/>
      <c r="L259" s="271"/>
      <c r="M259" s="272"/>
      <c r="N259" s="24"/>
      <c r="O259" s="163"/>
      <c r="P259" s="165"/>
      <c r="Q259" s="165"/>
      <c r="R259" s="187"/>
      <c r="S259" s="220"/>
      <c r="T259" s="187"/>
      <c r="U259" s="188"/>
      <c r="V259" s="188"/>
      <c r="W259" s="188"/>
      <c r="X259" s="180"/>
      <c r="Y259" s="180"/>
      <c r="Z259" s="180"/>
      <c r="AA259" s="180"/>
      <c r="AB259" s="180"/>
      <c r="AC259" s="180"/>
      <c r="AD259" s="180"/>
      <c r="AE259" s="180"/>
      <c r="AF259" s="180"/>
      <c r="AG259" s="180"/>
      <c r="AH259" s="180"/>
      <c r="AI259" s="180"/>
      <c r="AJ259" s="180"/>
      <c r="AK259" s="180"/>
      <c r="AL259" s="180"/>
      <c r="AM259" s="180"/>
      <c r="AN259" s="180"/>
      <c r="AO259" s="180"/>
      <c r="AP259" s="180"/>
      <c r="AQ259" s="180"/>
      <c r="AR259" s="180"/>
      <c r="AS259" s="180"/>
      <c r="AT259" s="180"/>
      <c r="AU259" s="180"/>
      <c r="AV259" s="180"/>
      <c r="AW259" s="180"/>
      <c r="AX259" s="180"/>
      <c r="AY259" s="180"/>
      <c r="AZ259" s="180"/>
      <c r="BA259" s="180"/>
      <c r="BB259" s="180"/>
      <c r="BC259" s="180"/>
      <c r="BD259" s="180"/>
      <c r="BE259" s="180"/>
      <c r="BF259" s="180"/>
      <c r="BG259" s="180"/>
      <c r="BH259" s="180"/>
      <c r="BI259" s="180"/>
      <c r="BJ259" s="180"/>
      <c r="BK259" s="180"/>
      <c r="BL259" s="180"/>
      <c r="BM259" s="180"/>
      <c r="BN259" s="180"/>
      <c r="BO259" s="180"/>
      <c r="BP259" s="180"/>
      <c r="BQ259" s="180"/>
      <c r="BR259" s="180"/>
      <c r="BS259" s="180"/>
      <c r="BT259" s="180"/>
      <c r="BU259" s="180"/>
      <c r="BV259" s="180"/>
      <c r="BW259" s="180"/>
      <c r="BX259" s="180"/>
      <c r="BY259" s="180"/>
      <c r="BZ259" s="180"/>
      <c r="CA259" s="180"/>
      <c r="CB259" s="180"/>
      <c r="CC259" s="180"/>
      <c r="CD259" s="180"/>
      <c r="CE259" s="180"/>
      <c r="CF259" s="180"/>
      <c r="CG259" s="180"/>
      <c r="CH259" s="180"/>
      <c r="CI259" s="180"/>
      <c r="CJ259" s="180"/>
      <c r="CK259" s="180"/>
      <c r="CL259" s="180"/>
      <c r="CM259" s="180"/>
      <c r="CN259" s="180"/>
      <c r="CO259" s="180"/>
      <c r="CP259" s="180"/>
      <c r="CQ259" s="180"/>
      <c r="CR259" s="180"/>
    </row>
    <row r="260" spans="2:97" s="40" customFormat="1" ht="42" customHeight="1">
      <c r="B260" s="244" t="s">
        <v>851</v>
      </c>
      <c r="C260" s="8"/>
      <c r="D260" s="34">
        <f>F260+H260+J260+L260</f>
        <v>178</v>
      </c>
      <c r="E260" s="23">
        <v>52.375</v>
      </c>
      <c r="F260" s="23">
        <v>178</v>
      </c>
      <c r="G260" s="23">
        <v>52.375</v>
      </c>
      <c r="H260" s="34"/>
      <c r="I260" s="8"/>
      <c r="J260" s="8"/>
      <c r="K260" s="3"/>
      <c r="L260" s="3"/>
      <c r="M260" s="141"/>
      <c r="N260" s="23">
        <v>52.375</v>
      </c>
      <c r="O260" s="34"/>
      <c r="P260" s="152"/>
      <c r="Q260" s="152"/>
      <c r="R260" s="165"/>
      <c r="S260" s="205">
        <f>D260-E260</f>
        <v>125.625</v>
      </c>
      <c r="T260" s="165"/>
      <c r="W260" s="28" t="s">
        <v>838</v>
      </c>
      <c r="X260" s="175"/>
      <c r="Y260" s="175"/>
      <c r="Z260" s="175"/>
      <c r="AA260" s="175"/>
      <c r="AB260" s="175"/>
      <c r="AC260" s="175"/>
      <c r="AD260" s="175"/>
      <c r="AE260" s="175"/>
      <c r="AF260" s="175"/>
      <c r="AG260" s="175"/>
      <c r="AH260" s="175"/>
      <c r="AI260" s="175"/>
      <c r="AJ260" s="175"/>
      <c r="AK260" s="175"/>
      <c r="AL260" s="175"/>
      <c r="AM260" s="175"/>
      <c r="AN260" s="175"/>
      <c r="AO260" s="175"/>
      <c r="AP260" s="175"/>
      <c r="AQ260" s="175"/>
      <c r="AR260" s="175"/>
      <c r="AS260" s="175"/>
      <c r="AT260" s="175"/>
      <c r="AU260" s="175"/>
      <c r="AV260" s="175"/>
      <c r="AW260" s="175"/>
      <c r="AX260" s="175"/>
      <c r="AY260" s="175"/>
      <c r="AZ260" s="175"/>
      <c r="BA260" s="175"/>
      <c r="BB260" s="175"/>
      <c r="BC260" s="175"/>
      <c r="BD260" s="175"/>
      <c r="BE260" s="175"/>
      <c r="BF260" s="175"/>
      <c r="BG260" s="175"/>
      <c r="BH260" s="175"/>
      <c r="BI260" s="175"/>
      <c r="BJ260" s="175"/>
      <c r="BK260" s="175"/>
      <c r="BL260" s="175"/>
      <c r="BM260" s="175"/>
      <c r="BN260" s="175"/>
      <c r="BO260" s="175"/>
      <c r="BP260" s="175"/>
      <c r="BQ260" s="175"/>
      <c r="BR260" s="175"/>
      <c r="BS260" s="175"/>
      <c r="BT260" s="175"/>
      <c r="BU260" s="175"/>
      <c r="BV260" s="175"/>
      <c r="BW260" s="175"/>
      <c r="BX260" s="175"/>
      <c r="BY260" s="175"/>
      <c r="BZ260" s="175"/>
      <c r="CA260" s="175"/>
      <c r="CB260" s="175"/>
      <c r="CC260" s="175"/>
      <c r="CD260" s="175"/>
      <c r="CE260" s="175"/>
      <c r="CF260" s="175"/>
      <c r="CG260" s="175"/>
      <c r="CH260" s="175"/>
      <c r="CI260" s="175"/>
      <c r="CJ260" s="175"/>
      <c r="CK260" s="175"/>
      <c r="CL260" s="175"/>
      <c r="CM260" s="175"/>
      <c r="CN260" s="175"/>
      <c r="CO260" s="175"/>
      <c r="CP260" s="175"/>
      <c r="CQ260" s="175"/>
      <c r="CR260" s="175"/>
      <c r="CS260" s="176"/>
    </row>
    <row r="261" spans="2:97" s="40" customFormat="1" ht="16.5" customHeight="1">
      <c r="B261" s="53" t="s">
        <v>784</v>
      </c>
      <c r="C261" s="3"/>
      <c r="D261" s="34"/>
      <c r="E261" s="34"/>
      <c r="F261" s="34"/>
      <c r="G261" s="34"/>
      <c r="H261" s="34"/>
      <c r="I261" s="8"/>
      <c r="J261" s="3"/>
      <c r="K261" s="3"/>
      <c r="L261" s="3"/>
      <c r="M261" s="164"/>
      <c r="N261" s="23"/>
      <c r="O261" s="34"/>
      <c r="P261" s="152"/>
      <c r="Q261" s="152"/>
      <c r="R261" s="165"/>
      <c r="S261" s="205"/>
      <c r="T261" s="165"/>
      <c r="X261" s="175"/>
      <c r="Y261" s="175"/>
      <c r="Z261" s="175"/>
      <c r="AA261" s="175"/>
      <c r="AB261" s="175"/>
      <c r="AC261" s="175"/>
      <c r="AD261" s="175"/>
      <c r="AE261" s="175"/>
      <c r="AF261" s="175"/>
      <c r="AG261" s="175"/>
      <c r="AH261" s="175"/>
      <c r="AI261" s="175"/>
      <c r="AJ261" s="175"/>
      <c r="AK261" s="175"/>
      <c r="AL261" s="175"/>
      <c r="AM261" s="175"/>
      <c r="AN261" s="175"/>
      <c r="AO261" s="175"/>
      <c r="AP261" s="175"/>
      <c r="AQ261" s="175"/>
      <c r="AR261" s="175"/>
      <c r="AS261" s="175"/>
      <c r="AT261" s="175"/>
      <c r="AU261" s="175"/>
      <c r="AV261" s="175"/>
      <c r="AW261" s="175"/>
      <c r="AX261" s="175"/>
      <c r="AY261" s="175"/>
      <c r="AZ261" s="175"/>
      <c r="BA261" s="175"/>
      <c r="BB261" s="175"/>
      <c r="BC261" s="175"/>
      <c r="BD261" s="175"/>
      <c r="BE261" s="175"/>
      <c r="BF261" s="175"/>
      <c r="BG261" s="175"/>
      <c r="BH261" s="175"/>
      <c r="BI261" s="175"/>
      <c r="BJ261" s="175"/>
      <c r="BK261" s="175"/>
      <c r="BL261" s="175"/>
      <c r="BM261" s="175"/>
      <c r="BN261" s="175"/>
      <c r="BO261" s="175"/>
      <c r="BP261" s="175"/>
      <c r="BQ261" s="175"/>
      <c r="BR261" s="175"/>
      <c r="BS261" s="175"/>
      <c r="BT261" s="175"/>
      <c r="BU261" s="175"/>
      <c r="BV261" s="175"/>
      <c r="BW261" s="175"/>
      <c r="BX261" s="175"/>
      <c r="BY261" s="175"/>
      <c r="BZ261" s="175"/>
      <c r="CA261" s="175"/>
      <c r="CB261" s="175"/>
      <c r="CC261" s="175"/>
      <c r="CD261" s="175"/>
      <c r="CE261" s="175"/>
      <c r="CF261" s="175"/>
      <c r="CG261" s="175"/>
      <c r="CH261" s="175"/>
      <c r="CI261" s="175"/>
      <c r="CJ261" s="175"/>
      <c r="CK261" s="175"/>
      <c r="CL261" s="175"/>
      <c r="CM261" s="175"/>
      <c r="CN261" s="175"/>
      <c r="CO261" s="175"/>
      <c r="CP261" s="175"/>
      <c r="CQ261" s="175"/>
      <c r="CR261" s="175"/>
      <c r="CS261" s="176"/>
    </row>
    <row r="262" spans="2:97" s="40" customFormat="1" ht="42" customHeight="1">
      <c r="B262" s="244" t="s">
        <v>852</v>
      </c>
      <c r="C262" s="8"/>
      <c r="D262" s="49">
        <v>0</v>
      </c>
      <c r="E262" s="23">
        <v>52.375</v>
      </c>
      <c r="F262" s="49">
        <v>0</v>
      </c>
      <c r="G262" s="23">
        <v>52.375</v>
      </c>
      <c r="H262" s="34"/>
      <c r="I262" s="8"/>
      <c r="J262" s="8"/>
      <c r="K262" s="3"/>
      <c r="L262" s="3"/>
      <c r="M262" s="141"/>
      <c r="N262" s="23">
        <v>52.375</v>
      </c>
      <c r="O262" s="34"/>
      <c r="P262" s="152"/>
      <c r="Q262" s="152"/>
      <c r="R262" s="165"/>
      <c r="S262" s="205">
        <f>D262-E262</f>
        <v>-52.375</v>
      </c>
      <c r="T262" s="165"/>
      <c r="W262" s="8" t="s">
        <v>723</v>
      </c>
      <c r="X262" s="175"/>
      <c r="Y262" s="175"/>
      <c r="Z262" s="175"/>
      <c r="AA262" s="175"/>
      <c r="AB262" s="175"/>
      <c r="AC262" s="175"/>
      <c r="AD262" s="175"/>
      <c r="AE262" s="175"/>
      <c r="AF262" s="175"/>
      <c r="AG262" s="175"/>
      <c r="AH262" s="175"/>
      <c r="AI262" s="175"/>
      <c r="AJ262" s="175"/>
      <c r="AK262" s="175"/>
      <c r="AL262" s="175"/>
      <c r="AM262" s="175"/>
      <c r="AN262" s="175"/>
      <c r="AO262" s="175"/>
      <c r="AP262" s="175"/>
      <c r="AQ262" s="175"/>
      <c r="AR262" s="175"/>
      <c r="AS262" s="175"/>
      <c r="AT262" s="175"/>
      <c r="AU262" s="175"/>
      <c r="AV262" s="175"/>
      <c r="AW262" s="175"/>
      <c r="AX262" s="175"/>
      <c r="AY262" s="175"/>
      <c r="AZ262" s="175"/>
      <c r="BA262" s="175"/>
      <c r="BB262" s="175"/>
      <c r="BC262" s="175"/>
      <c r="BD262" s="175"/>
      <c r="BE262" s="175"/>
      <c r="BF262" s="175"/>
      <c r="BG262" s="175"/>
      <c r="BH262" s="175"/>
      <c r="BI262" s="175"/>
      <c r="BJ262" s="175"/>
      <c r="BK262" s="175"/>
      <c r="BL262" s="175"/>
      <c r="BM262" s="175"/>
      <c r="BN262" s="175"/>
      <c r="BO262" s="175"/>
      <c r="BP262" s="175"/>
      <c r="BQ262" s="175"/>
      <c r="BR262" s="175"/>
      <c r="BS262" s="175"/>
      <c r="BT262" s="175"/>
      <c r="BU262" s="175"/>
      <c r="BV262" s="175"/>
      <c r="BW262" s="175"/>
      <c r="BX262" s="175"/>
      <c r="BY262" s="175"/>
      <c r="BZ262" s="175"/>
      <c r="CA262" s="175"/>
      <c r="CB262" s="175"/>
      <c r="CC262" s="175"/>
      <c r="CD262" s="175"/>
      <c r="CE262" s="175"/>
      <c r="CF262" s="175"/>
      <c r="CG262" s="175"/>
      <c r="CH262" s="175"/>
      <c r="CI262" s="175"/>
      <c r="CJ262" s="175"/>
      <c r="CK262" s="175"/>
      <c r="CL262" s="175"/>
      <c r="CM262" s="175"/>
      <c r="CN262" s="175"/>
      <c r="CO262" s="175"/>
      <c r="CP262" s="175"/>
      <c r="CQ262" s="175"/>
      <c r="CR262" s="175"/>
      <c r="CS262" s="176"/>
    </row>
    <row r="263" spans="2:97" s="40" customFormat="1" ht="16.5" customHeight="1">
      <c r="B263" s="53" t="s">
        <v>787</v>
      </c>
      <c r="C263" s="3"/>
      <c r="D263" s="34"/>
      <c r="E263" s="34"/>
      <c r="F263" s="34"/>
      <c r="G263" s="34"/>
      <c r="H263" s="34"/>
      <c r="I263" s="8"/>
      <c r="J263" s="3"/>
      <c r="K263" s="3"/>
      <c r="L263" s="3"/>
      <c r="M263" s="164"/>
      <c r="N263" s="23"/>
      <c r="O263" s="34"/>
      <c r="P263" s="152"/>
      <c r="Q263" s="152"/>
      <c r="R263" s="165"/>
      <c r="S263" s="205"/>
      <c r="T263" s="165"/>
      <c r="X263" s="175"/>
      <c r="Y263" s="175"/>
      <c r="Z263" s="175"/>
      <c r="AA263" s="175"/>
      <c r="AB263" s="175"/>
      <c r="AC263" s="175"/>
      <c r="AD263" s="175"/>
      <c r="AE263" s="175"/>
      <c r="AF263" s="175"/>
      <c r="AG263" s="175"/>
      <c r="AH263" s="175"/>
      <c r="AI263" s="175"/>
      <c r="AJ263" s="175"/>
      <c r="AK263" s="175"/>
      <c r="AL263" s="175"/>
      <c r="AM263" s="175"/>
      <c r="AN263" s="175"/>
      <c r="AO263" s="175"/>
      <c r="AP263" s="175"/>
      <c r="AQ263" s="175"/>
      <c r="AR263" s="175"/>
      <c r="AS263" s="175"/>
      <c r="AT263" s="175"/>
      <c r="AU263" s="175"/>
      <c r="AV263" s="175"/>
      <c r="AW263" s="175"/>
      <c r="AX263" s="175"/>
      <c r="AY263" s="175"/>
      <c r="AZ263" s="175"/>
      <c r="BA263" s="175"/>
      <c r="BB263" s="175"/>
      <c r="BC263" s="175"/>
      <c r="BD263" s="175"/>
      <c r="BE263" s="175"/>
      <c r="BF263" s="175"/>
      <c r="BG263" s="175"/>
      <c r="BH263" s="175"/>
      <c r="BI263" s="175"/>
      <c r="BJ263" s="175"/>
      <c r="BK263" s="175"/>
      <c r="BL263" s="175"/>
      <c r="BM263" s="175"/>
      <c r="BN263" s="175"/>
      <c r="BO263" s="175"/>
      <c r="BP263" s="175"/>
      <c r="BQ263" s="175"/>
      <c r="BR263" s="175"/>
      <c r="BS263" s="175"/>
      <c r="BT263" s="175"/>
      <c r="BU263" s="175"/>
      <c r="BV263" s="175"/>
      <c r="BW263" s="175"/>
      <c r="BX263" s="175"/>
      <c r="BY263" s="175"/>
      <c r="BZ263" s="175"/>
      <c r="CA263" s="175"/>
      <c r="CB263" s="175"/>
      <c r="CC263" s="175"/>
      <c r="CD263" s="175"/>
      <c r="CE263" s="175"/>
      <c r="CF263" s="175"/>
      <c r="CG263" s="175"/>
      <c r="CH263" s="175"/>
      <c r="CI263" s="175"/>
      <c r="CJ263" s="175"/>
      <c r="CK263" s="175"/>
      <c r="CL263" s="175"/>
      <c r="CM263" s="175"/>
      <c r="CN263" s="175"/>
      <c r="CO263" s="175"/>
      <c r="CP263" s="175"/>
      <c r="CQ263" s="175"/>
      <c r="CR263" s="175"/>
      <c r="CS263" s="176"/>
    </row>
    <row r="264" spans="2:97" s="40" customFormat="1" ht="42" customHeight="1">
      <c r="B264" s="244" t="s">
        <v>853</v>
      </c>
      <c r="C264" s="8"/>
      <c r="D264" s="49">
        <v>0</v>
      </c>
      <c r="E264" s="23">
        <v>52.375</v>
      </c>
      <c r="F264" s="49">
        <v>0</v>
      </c>
      <c r="G264" s="23">
        <v>52.375</v>
      </c>
      <c r="H264" s="34"/>
      <c r="I264" s="8"/>
      <c r="J264" s="8"/>
      <c r="K264" s="3"/>
      <c r="L264" s="3"/>
      <c r="M264" s="141"/>
      <c r="N264" s="23">
        <v>52.375</v>
      </c>
      <c r="O264" s="34"/>
      <c r="P264" s="152"/>
      <c r="Q264" s="152"/>
      <c r="R264" s="165"/>
      <c r="S264" s="205">
        <f>D264-E264</f>
        <v>-52.375</v>
      </c>
      <c r="T264" s="165"/>
      <c r="W264" s="8" t="s">
        <v>723</v>
      </c>
      <c r="X264" s="175"/>
      <c r="Y264" s="175"/>
      <c r="Z264" s="175"/>
      <c r="AA264" s="175"/>
      <c r="AB264" s="175"/>
      <c r="AC264" s="175"/>
      <c r="AD264" s="175"/>
      <c r="AE264" s="175"/>
      <c r="AF264" s="175"/>
      <c r="AG264" s="175"/>
      <c r="AH264" s="175"/>
      <c r="AI264" s="175"/>
      <c r="AJ264" s="175"/>
      <c r="AK264" s="175"/>
      <c r="AL264" s="175"/>
      <c r="AM264" s="175"/>
      <c r="AN264" s="175"/>
      <c r="AO264" s="175"/>
      <c r="AP264" s="175"/>
      <c r="AQ264" s="175"/>
      <c r="AR264" s="175"/>
      <c r="AS264" s="175"/>
      <c r="AT264" s="175"/>
      <c r="AU264" s="175"/>
      <c r="AV264" s="175"/>
      <c r="AW264" s="175"/>
      <c r="AX264" s="175"/>
      <c r="AY264" s="175"/>
      <c r="AZ264" s="175"/>
      <c r="BA264" s="175"/>
      <c r="BB264" s="175"/>
      <c r="BC264" s="175"/>
      <c r="BD264" s="175"/>
      <c r="BE264" s="175"/>
      <c r="BF264" s="175"/>
      <c r="BG264" s="175"/>
      <c r="BH264" s="175"/>
      <c r="BI264" s="175"/>
      <c r="BJ264" s="175"/>
      <c r="BK264" s="175"/>
      <c r="BL264" s="175"/>
      <c r="BM264" s="175"/>
      <c r="BN264" s="175"/>
      <c r="BO264" s="175"/>
      <c r="BP264" s="175"/>
      <c r="BQ264" s="175"/>
      <c r="BR264" s="175"/>
      <c r="BS264" s="175"/>
      <c r="BT264" s="175"/>
      <c r="BU264" s="175"/>
      <c r="BV264" s="175"/>
      <c r="BW264" s="175"/>
      <c r="BX264" s="175"/>
      <c r="BY264" s="175"/>
      <c r="BZ264" s="175"/>
      <c r="CA264" s="175"/>
      <c r="CB264" s="175"/>
      <c r="CC264" s="175"/>
      <c r="CD264" s="175"/>
      <c r="CE264" s="175"/>
      <c r="CF264" s="175"/>
      <c r="CG264" s="175"/>
      <c r="CH264" s="175"/>
      <c r="CI264" s="175"/>
      <c r="CJ264" s="175"/>
      <c r="CK264" s="175"/>
      <c r="CL264" s="175"/>
      <c r="CM264" s="175"/>
      <c r="CN264" s="175"/>
      <c r="CO264" s="175"/>
      <c r="CP264" s="175"/>
      <c r="CQ264" s="175"/>
      <c r="CR264" s="175"/>
      <c r="CS264" s="176"/>
    </row>
    <row r="265" spans="1:96" s="181" customFormat="1" ht="19.5" customHeight="1">
      <c r="A265" s="178"/>
      <c r="B265" s="40" t="s">
        <v>169</v>
      </c>
      <c r="C265" s="182"/>
      <c r="D265" s="24">
        <f>F265+H265+J265+L265</f>
        <v>356</v>
      </c>
      <c r="E265" s="24">
        <f>G265+I265+K265+M265</f>
        <v>328.558</v>
      </c>
      <c r="F265" s="24">
        <f aca="true" t="shared" si="53" ref="F265:M265">F267+F268</f>
        <v>356</v>
      </c>
      <c r="G265" s="24">
        <f t="shared" si="53"/>
        <v>328.558</v>
      </c>
      <c r="H265" s="163">
        <f t="shared" si="53"/>
        <v>0</v>
      </c>
      <c r="I265" s="163">
        <f t="shared" si="53"/>
        <v>0</v>
      </c>
      <c r="J265" s="163">
        <f t="shared" si="53"/>
        <v>0</v>
      </c>
      <c r="K265" s="163">
        <f t="shared" si="53"/>
        <v>0</v>
      </c>
      <c r="L265" s="163">
        <f t="shared" si="53"/>
        <v>0</v>
      </c>
      <c r="M265" s="163">
        <f t="shared" si="53"/>
        <v>0</v>
      </c>
      <c r="N265" s="24">
        <v>328.558</v>
      </c>
      <c r="O265" s="163"/>
      <c r="P265" s="165"/>
      <c r="Q265" s="165"/>
      <c r="R265" s="187"/>
      <c r="S265" s="183">
        <f>S267+S268</f>
        <v>27.44199999999998</v>
      </c>
      <c r="T265" s="187"/>
      <c r="U265" s="188"/>
      <c r="V265" s="188"/>
      <c r="W265" s="188"/>
      <c r="X265" s="180"/>
      <c r="Y265" s="180"/>
      <c r="Z265" s="180"/>
      <c r="AA265" s="180"/>
      <c r="AB265" s="180"/>
      <c r="AC265" s="180"/>
      <c r="AD265" s="180"/>
      <c r="AE265" s="180"/>
      <c r="AF265" s="180"/>
      <c r="AG265" s="180"/>
      <c r="AH265" s="180"/>
      <c r="AI265" s="180"/>
      <c r="AJ265" s="180"/>
      <c r="AK265" s="180"/>
      <c r="AL265" s="180"/>
      <c r="AM265" s="180"/>
      <c r="AN265" s="180"/>
      <c r="AO265" s="180"/>
      <c r="AP265" s="180"/>
      <c r="AQ265" s="180"/>
      <c r="AR265" s="180"/>
      <c r="AS265" s="180"/>
      <c r="AT265" s="180"/>
      <c r="AU265" s="180"/>
      <c r="AV265" s="180"/>
      <c r="AW265" s="180"/>
      <c r="AX265" s="180"/>
      <c r="AY265" s="180"/>
      <c r="AZ265" s="180"/>
      <c r="BA265" s="180"/>
      <c r="BB265" s="180"/>
      <c r="BC265" s="180"/>
      <c r="BD265" s="180"/>
      <c r="BE265" s="180"/>
      <c r="BF265" s="180"/>
      <c r="BG265" s="180"/>
      <c r="BH265" s="180"/>
      <c r="BI265" s="180"/>
      <c r="BJ265" s="180"/>
      <c r="BK265" s="180"/>
      <c r="BL265" s="180"/>
      <c r="BM265" s="180"/>
      <c r="BN265" s="180"/>
      <c r="BO265" s="180"/>
      <c r="BP265" s="180"/>
      <c r="BQ265" s="180"/>
      <c r="BR265" s="180"/>
      <c r="BS265" s="180"/>
      <c r="BT265" s="180"/>
      <c r="BU265" s="180"/>
      <c r="BV265" s="180"/>
      <c r="BW265" s="180"/>
      <c r="BX265" s="180"/>
      <c r="BY265" s="180"/>
      <c r="BZ265" s="180"/>
      <c r="CA265" s="180"/>
      <c r="CB265" s="180"/>
      <c r="CC265" s="180"/>
      <c r="CD265" s="180"/>
      <c r="CE265" s="180"/>
      <c r="CF265" s="180"/>
      <c r="CG265" s="180"/>
      <c r="CH265" s="180"/>
      <c r="CI265" s="180"/>
      <c r="CJ265" s="180"/>
      <c r="CK265" s="180"/>
      <c r="CL265" s="180"/>
      <c r="CM265" s="180"/>
      <c r="CN265" s="180"/>
      <c r="CO265" s="180"/>
      <c r="CP265" s="180"/>
      <c r="CQ265" s="180"/>
      <c r="CR265" s="180"/>
    </row>
    <row r="266" spans="2:97" s="40" customFormat="1" ht="16.5" customHeight="1">
      <c r="B266" s="53" t="s">
        <v>811</v>
      </c>
      <c r="C266" s="3"/>
      <c r="D266" s="8"/>
      <c r="E266" s="8"/>
      <c r="F266" s="34"/>
      <c r="G266" s="23"/>
      <c r="H266" s="34"/>
      <c r="I266" s="8"/>
      <c r="J266" s="8"/>
      <c r="K266" s="3"/>
      <c r="L266" s="3"/>
      <c r="M266" s="164"/>
      <c r="N266" s="23"/>
      <c r="O266" s="23"/>
      <c r="P266" s="152"/>
      <c r="Q266" s="152"/>
      <c r="R266" s="165"/>
      <c r="S266" s="220"/>
      <c r="T266" s="165"/>
      <c r="X266" s="175"/>
      <c r="Y266" s="175"/>
      <c r="Z266" s="175"/>
      <c r="AA266" s="175"/>
      <c r="AB266" s="175"/>
      <c r="AC266" s="175"/>
      <c r="AD266" s="175"/>
      <c r="AE266" s="175"/>
      <c r="AF266" s="175"/>
      <c r="AG266" s="175"/>
      <c r="AH266" s="175"/>
      <c r="AI266" s="175"/>
      <c r="AJ266" s="175"/>
      <c r="AK266" s="175"/>
      <c r="AL266" s="175"/>
      <c r="AM266" s="175"/>
      <c r="AN266" s="175"/>
      <c r="AO266" s="175"/>
      <c r="AP266" s="175"/>
      <c r="AQ266" s="175"/>
      <c r="AR266" s="175"/>
      <c r="AS266" s="175"/>
      <c r="AT266" s="175"/>
      <c r="AU266" s="175"/>
      <c r="AV266" s="175"/>
      <c r="AW266" s="175"/>
      <c r="AX266" s="175"/>
      <c r="AY266" s="175"/>
      <c r="AZ266" s="175"/>
      <c r="BA266" s="175"/>
      <c r="BB266" s="175"/>
      <c r="BC266" s="175"/>
      <c r="BD266" s="175"/>
      <c r="BE266" s="175"/>
      <c r="BF266" s="175"/>
      <c r="BG266" s="175"/>
      <c r="BH266" s="175"/>
      <c r="BI266" s="175"/>
      <c r="BJ266" s="175"/>
      <c r="BK266" s="175"/>
      <c r="BL266" s="175"/>
      <c r="BM266" s="175"/>
      <c r="BN266" s="175"/>
      <c r="BO266" s="175"/>
      <c r="BP266" s="175"/>
      <c r="BQ266" s="175"/>
      <c r="BR266" s="175"/>
      <c r="BS266" s="175"/>
      <c r="BT266" s="175"/>
      <c r="BU266" s="175"/>
      <c r="BV266" s="175"/>
      <c r="BW266" s="175"/>
      <c r="BX266" s="175"/>
      <c r="BY266" s="175"/>
      <c r="BZ266" s="175"/>
      <c r="CA266" s="175"/>
      <c r="CB266" s="175"/>
      <c r="CC266" s="175"/>
      <c r="CD266" s="175"/>
      <c r="CE266" s="175"/>
      <c r="CF266" s="175"/>
      <c r="CG266" s="175"/>
      <c r="CH266" s="175"/>
      <c r="CI266" s="175"/>
      <c r="CJ266" s="175"/>
      <c r="CK266" s="175"/>
      <c r="CL266" s="175"/>
      <c r="CM266" s="175"/>
      <c r="CN266" s="175"/>
      <c r="CO266" s="175"/>
      <c r="CP266" s="175"/>
      <c r="CQ266" s="175"/>
      <c r="CR266" s="175"/>
      <c r="CS266" s="176"/>
    </row>
    <row r="267" spans="2:97" s="40" customFormat="1" ht="61.5" customHeight="1">
      <c r="B267" s="244" t="s">
        <v>854</v>
      </c>
      <c r="C267" s="8"/>
      <c r="D267" s="34">
        <f>F267+H267+J267+L267</f>
        <v>178</v>
      </c>
      <c r="E267" s="23">
        <v>153.8</v>
      </c>
      <c r="F267" s="23">
        <v>178</v>
      </c>
      <c r="G267" s="23">
        <v>153.8</v>
      </c>
      <c r="H267" s="34"/>
      <c r="I267" s="8"/>
      <c r="J267" s="8"/>
      <c r="K267" s="3"/>
      <c r="L267" s="3"/>
      <c r="M267" s="141"/>
      <c r="N267" s="23">
        <v>153.8</v>
      </c>
      <c r="O267" s="23"/>
      <c r="P267" s="152"/>
      <c r="Q267" s="152"/>
      <c r="R267" s="165"/>
      <c r="S267" s="205">
        <f>D267-E267</f>
        <v>24.19999999999999</v>
      </c>
      <c r="T267" s="165"/>
      <c r="W267" s="28" t="s">
        <v>838</v>
      </c>
      <c r="X267" s="175"/>
      <c r="Y267" s="175"/>
      <c r="Z267" s="175"/>
      <c r="AA267" s="175"/>
      <c r="AB267" s="175"/>
      <c r="AC267" s="175"/>
      <c r="AD267" s="175"/>
      <c r="AE267" s="175"/>
      <c r="AF267" s="175"/>
      <c r="AG267" s="175"/>
      <c r="AH267" s="175"/>
      <c r="AI267" s="175"/>
      <c r="AJ267" s="175"/>
      <c r="AK267" s="175"/>
      <c r="AL267" s="175"/>
      <c r="AM267" s="175"/>
      <c r="AN267" s="175"/>
      <c r="AO267" s="175"/>
      <c r="AP267" s="175"/>
      <c r="AQ267" s="175"/>
      <c r="AR267" s="175"/>
      <c r="AS267" s="175"/>
      <c r="AT267" s="175"/>
      <c r="AU267" s="175"/>
      <c r="AV267" s="175"/>
      <c r="AW267" s="175"/>
      <c r="AX267" s="175"/>
      <c r="AY267" s="175"/>
      <c r="AZ267" s="175"/>
      <c r="BA267" s="175"/>
      <c r="BB267" s="175"/>
      <c r="BC267" s="175"/>
      <c r="BD267" s="175"/>
      <c r="BE267" s="175"/>
      <c r="BF267" s="175"/>
      <c r="BG267" s="175"/>
      <c r="BH267" s="175"/>
      <c r="BI267" s="175"/>
      <c r="BJ267" s="175"/>
      <c r="BK267" s="175"/>
      <c r="BL267" s="175"/>
      <c r="BM267" s="175"/>
      <c r="BN267" s="175"/>
      <c r="BO267" s="175"/>
      <c r="BP267" s="175"/>
      <c r="BQ267" s="175"/>
      <c r="BR267" s="175"/>
      <c r="BS267" s="175"/>
      <c r="BT267" s="175"/>
      <c r="BU267" s="175"/>
      <c r="BV267" s="175"/>
      <c r="BW267" s="175"/>
      <c r="BX267" s="175"/>
      <c r="BY267" s="175"/>
      <c r="BZ267" s="175"/>
      <c r="CA267" s="175"/>
      <c r="CB267" s="175"/>
      <c r="CC267" s="175"/>
      <c r="CD267" s="175"/>
      <c r="CE267" s="175"/>
      <c r="CF267" s="175"/>
      <c r="CG267" s="175"/>
      <c r="CH267" s="175"/>
      <c r="CI267" s="175"/>
      <c r="CJ267" s="175"/>
      <c r="CK267" s="175"/>
      <c r="CL267" s="175"/>
      <c r="CM267" s="175"/>
      <c r="CN267" s="175"/>
      <c r="CO267" s="175"/>
      <c r="CP267" s="175"/>
      <c r="CQ267" s="175"/>
      <c r="CR267" s="175"/>
      <c r="CS267" s="176"/>
    </row>
    <row r="268" spans="2:97" s="40" customFormat="1" ht="42.75" customHeight="1">
      <c r="B268" s="244" t="s">
        <v>855</v>
      </c>
      <c r="C268" s="3"/>
      <c r="D268" s="34">
        <f>F268+H268+J268+L268</f>
        <v>178</v>
      </c>
      <c r="E268" s="23">
        <v>174.758</v>
      </c>
      <c r="F268" s="23">
        <v>178</v>
      </c>
      <c r="G268" s="23">
        <v>174.758</v>
      </c>
      <c r="H268" s="34"/>
      <c r="I268" s="8"/>
      <c r="J268" s="8"/>
      <c r="K268" s="3"/>
      <c r="L268" s="3"/>
      <c r="M268" s="141"/>
      <c r="N268" s="23">
        <v>174.758</v>
      </c>
      <c r="O268" s="23"/>
      <c r="P268" s="152"/>
      <c r="Q268" s="152"/>
      <c r="R268" s="165"/>
      <c r="S268" s="205">
        <f>D268-E268</f>
        <v>3.2419999999999902</v>
      </c>
      <c r="T268" s="165"/>
      <c r="W268" s="28" t="s">
        <v>838</v>
      </c>
      <c r="X268" s="175"/>
      <c r="Y268" s="175"/>
      <c r="Z268" s="175"/>
      <c r="AA268" s="175"/>
      <c r="AB268" s="175"/>
      <c r="AC268" s="175"/>
      <c r="AD268" s="175"/>
      <c r="AE268" s="175"/>
      <c r="AF268" s="175"/>
      <c r="AG268" s="175"/>
      <c r="AH268" s="175"/>
      <c r="AI268" s="175"/>
      <c r="AJ268" s="175"/>
      <c r="AK268" s="175"/>
      <c r="AL268" s="175"/>
      <c r="AM268" s="175"/>
      <c r="AN268" s="175"/>
      <c r="AO268" s="175"/>
      <c r="AP268" s="175"/>
      <c r="AQ268" s="175"/>
      <c r="AR268" s="175"/>
      <c r="AS268" s="175"/>
      <c r="AT268" s="175"/>
      <c r="AU268" s="175"/>
      <c r="AV268" s="175"/>
      <c r="AW268" s="175"/>
      <c r="AX268" s="175"/>
      <c r="AY268" s="175"/>
      <c r="AZ268" s="175"/>
      <c r="BA268" s="175"/>
      <c r="BB268" s="175"/>
      <c r="BC268" s="175"/>
      <c r="BD268" s="175"/>
      <c r="BE268" s="175"/>
      <c r="BF268" s="175"/>
      <c r="BG268" s="175"/>
      <c r="BH268" s="175"/>
      <c r="BI268" s="175"/>
      <c r="BJ268" s="175"/>
      <c r="BK268" s="175"/>
      <c r="BL268" s="175"/>
      <c r="BM268" s="175"/>
      <c r="BN268" s="175"/>
      <c r="BO268" s="175"/>
      <c r="BP268" s="175"/>
      <c r="BQ268" s="175"/>
      <c r="BR268" s="175"/>
      <c r="BS268" s="175"/>
      <c r="BT268" s="175"/>
      <c r="BU268" s="175"/>
      <c r="BV268" s="175"/>
      <c r="BW268" s="175"/>
      <c r="BX268" s="175"/>
      <c r="BY268" s="175"/>
      <c r="BZ268" s="175"/>
      <c r="CA268" s="175"/>
      <c r="CB268" s="175"/>
      <c r="CC268" s="175"/>
      <c r="CD268" s="175"/>
      <c r="CE268" s="175"/>
      <c r="CF268" s="175"/>
      <c r="CG268" s="175"/>
      <c r="CH268" s="175"/>
      <c r="CI268" s="175"/>
      <c r="CJ268" s="175"/>
      <c r="CK268" s="175"/>
      <c r="CL268" s="175"/>
      <c r="CM268" s="175"/>
      <c r="CN268" s="175"/>
      <c r="CO268" s="175"/>
      <c r="CP268" s="175"/>
      <c r="CQ268" s="175"/>
      <c r="CR268" s="175"/>
      <c r="CS268" s="176"/>
    </row>
    <row r="269" spans="2:97" s="40" customFormat="1" ht="12.75" customHeight="1">
      <c r="B269" s="10"/>
      <c r="C269" s="3"/>
      <c r="D269" s="8"/>
      <c r="E269" s="8"/>
      <c r="F269" s="23"/>
      <c r="G269" s="23"/>
      <c r="H269" s="34"/>
      <c r="I269" s="8"/>
      <c r="J269" s="8"/>
      <c r="K269" s="3"/>
      <c r="L269" s="3"/>
      <c r="M269" s="141"/>
      <c r="N269" s="3"/>
      <c r="O269" s="24"/>
      <c r="P269" s="165"/>
      <c r="Q269" s="165"/>
      <c r="R269" s="165"/>
      <c r="S269" s="220"/>
      <c r="T269" s="165"/>
      <c r="X269" s="175"/>
      <c r="Y269" s="175"/>
      <c r="Z269" s="175"/>
      <c r="AA269" s="175"/>
      <c r="AB269" s="175"/>
      <c r="AC269" s="175"/>
      <c r="AD269" s="175"/>
      <c r="AE269" s="175"/>
      <c r="AF269" s="175"/>
      <c r="AG269" s="175"/>
      <c r="AH269" s="175"/>
      <c r="AI269" s="175"/>
      <c r="AJ269" s="175"/>
      <c r="AK269" s="175"/>
      <c r="AL269" s="175"/>
      <c r="AM269" s="175"/>
      <c r="AN269" s="175"/>
      <c r="AO269" s="175"/>
      <c r="AP269" s="175"/>
      <c r="AQ269" s="175"/>
      <c r="AR269" s="175"/>
      <c r="AS269" s="175"/>
      <c r="AT269" s="175"/>
      <c r="AU269" s="175"/>
      <c r="AV269" s="175"/>
      <c r="AW269" s="175"/>
      <c r="AX269" s="175"/>
      <c r="AY269" s="175"/>
      <c r="AZ269" s="175"/>
      <c r="BA269" s="175"/>
      <c r="BB269" s="175"/>
      <c r="BC269" s="175"/>
      <c r="BD269" s="175"/>
      <c r="BE269" s="175"/>
      <c r="BF269" s="175"/>
      <c r="BG269" s="175"/>
      <c r="BH269" s="175"/>
      <c r="BI269" s="175"/>
      <c r="BJ269" s="175"/>
      <c r="BK269" s="175"/>
      <c r="BL269" s="175"/>
      <c r="BM269" s="175"/>
      <c r="BN269" s="175"/>
      <c r="BO269" s="175"/>
      <c r="BP269" s="175"/>
      <c r="BQ269" s="175"/>
      <c r="BR269" s="175"/>
      <c r="BS269" s="175"/>
      <c r="BT269" s="175"/>
      <c r="BU269" s="175"/>
      <c r="BV269" s="175"/>
      <c r="BW269" s="175"/>
      <c r="BX269" s="175"/>
      <c r="BY269" s="175"/>
      <c r="BZ269" s="175"/>
      <c r="CA269" s="175"/>
      <c r="CB269" s="175"/>
      <c r="CC269" s="175"/>
      <c r="CD269" s="175"/>
      <c r="CE269" s="175"/>
      <c r="CF269" s="175"/>
      <c r="CG269" s="175"/>
      <c r="CH269" s="175"/>
      <c r="CI269" s="175"/>
      <c r="CJ269" s="175"/>
      <c r="CK269" s="175"/>
      <c r="CL269" s="175"/>
      <c r="CM269" s="175"/>
      <c r="CN269" s="175"/>
      <c r="CO269" s="175"/>
      <c r="CP269" s="175"/>
      <c r="CQ269" s="175"/>
      <c r="CR269" s="175"/>
      <c r="CS269" s="176"/>
    </row>
    <row r="270" spans="1:96" s="181" customFormat="1" ht="42" customHeight="1">
      <c r="A270" s="273" t="s">
        <v>856</v>
      </c>
      <c r="B270" s="274" t="s">
        <v>857</v>
      </c>
      <c r="C270" s="179"/>
      <c r="D270" s="24">
        <f>F270+H270+J270+L270</f>
        <v>650</v>
      </c>
      <c r="E270" s="24">
        <f>G270+I270+K270+M270</f>
        <v>656.162</v>
      </c>
      <c r="F270" s="163">
        <v>200</v>
      </c>
      <c r="G270" s="24">
        <v>170.592</v>
      </c>
      <c r="H270" s="163"/>
      <c r="I270" s="24"/>
      <c r="J270" s="3"/>
      <c r="K270" s="271"/>
      <c r="L270" s="139">
        <v>450</v>
      </c>
      <c r="M270" s="275">
        <v>485.57</v>
      </c>
      <c r="N270" s="24">
        <f>E270</f>
        <v>656.162</v>
      </c>
      <c r="O270" s="24"/>
      <c r="P270" s="187"/>
      <c r="Q270" s="187"/>
      <c r="R270" s="187"/>
      <c r="S270" s="220">
        <f>L270-M270</f>
        <v>-35.56999999999999</v>
      </c>
      <c r="T270" s="187"/>
      <c r="U270" s="276"/>
      <c r="V270" s="188"/>
      <c r="W270" s="8" t="s">
        <v>725</v>
      </c>
      <c r="X270" s="180"/>
      <c r="Y270" s="180"/>
      <c r="Z270" s="180"/>
      <c r="AA270" s="180"/>
      <c r="AB270" s="180"/>
      <c r="AC270" s="180"/>
      <c r="AD270" s="180"/>
      <c r="AE270" s="180"/>
      <c r="AF270" s="180"/>
      <c r="AG270" s="180"/>
      <c r="AH270" s="180"/>
      <c r="AI270" s="180"/>
      <c r="AJ270" s="180"/>
      <c r="AK270" s="180"/>
      <c r="AL270" s="180"/>
      <c r="AM270" s="180"/>
      <c r="AN270" s="180"/>
      <c r="AO270" s="180"/>
      <c r="AP270" s="180"/>
      <c r="AQ270" s="180"/>
      <c r="AR270" s="180"/>
      <c r="AS270" s="180"/>
      <c r="AT270" s="180"/>
      <c r="AU270" s="180"/>
      <c r="AV270" s="180"/>
      <c r="AW270" s="180"/>
      <c r="AX270" s="180"/>
      <c r="AY270" s="180"/>
      <c r="AZ270" s="180"/>
      <c r="BA270" s="180"/>
      <c r="BB270" s="180"/>
      <c r="BC270" s="180"/>
      <c r="BD270" s="180"/>
      <c r="BE270" s="180"/>
      <c r="BF270" s="180"/>
      <c r="BG270" s="180"/>
      <c r="BH270" s="180"/>
      <c r="BI270" s="180"/>
      <c r="BJ270" s="180"/>
      <c r="BK270" s="180"/>
      <c r="BL270" s="180"/>
      <c r="BM270" s="180"/>
      <c r="BN270" s="180"/>
      <c r="BO270" s="180"/>
      <c r="BP270" s="180"/>
      <c r="BQ270" s="180"/>
      <c r="BR270" s="180"/>
      <c r="BS270" s="180"/>
      <c r="BT270" s="180"/>
      <c r="BU270" s="180"/>
      <c r="BV270" s="180"/>
      <c r="BW270" s="180"/>
      <c r="BX270" s="180"/>
      <c r="BY270" s="180"/>
      <c r="BZ270" s="180"/>
      <c r="CA270" s="180"/>
      <c r="CB270" s="180"/>
      <c r="CC270" s="180"/>
      <c r="CD270" s="180"/>
      <c r="CE270" s="180"/>
      <c r="CF270" s="180"/>
      <c r="CG270" s="180"/>
      <c r="CH270" s="180"/>
      <c r="CI270" s="180"/>
      <c r="CJ270" s="180"/>
      <c r="CK270" s="180"/>
      <c r="CL270" s="180"/>
      <c r="CM270" s="180"/>
      <c r="CN270" s="180"/>
      <c r="CO270" s="180"/>
      <c r="CP270" s="180"/>
      <c r="CQ270" s="180"/>
      <c r="CR270" s="180"/>
    </row>
    <row r="271" spans="1:96" s="278" customFormat="1" ht="33.75" customHeight="1">
      <c r="A271" s="146" t="s">
        <v>577</v>
      </c>
      <c r="B271" s="146" t="s">
        <v>858</v>
      </c>
      <c r="C271" s="229"/>
      <c r="D271" s="147">
        <f aca="true" t="shared" si="54" ref="D271:N271">D272+D278</f>
        <v>3294.987</v>
      </c>
      <c r="E271" s="147">
        <f t="shared" si="54"/>
        <v>56902.369000000006</v>
      </c>
      <c r="F271" s="147">
        <f t="shared" si="54"/>
        <v>0</v>
      </c>
      <c r="G271" s="147">
        <f t="shared" si="54"/>
        <v>5762.949999999999</v>
      </c>
      <c r="H271" s="147">
        <f t="shared" si="54"/>
        <v>0</v>
      </c>
      <c r="I271" s="147">
        <f t="shared" si="54"/>
        <v>16634.100000000002</v>
      </c>
      <c r="J271" s="147">
        <f t="shared" si="54"/>
        <v>1776.9869999999999</v>
      </c>
      <c r="K271" s="147">
        <f t="shared" si="54"/>
        <v>13062.845</v>
      </c>
      <c r="L271" s="147">
        <f t="shared" si="54"/>
        <v>1518</v>
      </c>
      <c r="M271" s="147">
        <f t="shared" si="54"/>
        <v>21442.474000000002</v>
      </c>
      <c r="N271" s="147">
        <f t="shared" si="54"/>
        <v>56902.369000000006</v>
      </c>
      <c r="O271" s="147"/>
      <c r="P271" s="147"/>
      <c r="Q271" s="147"/>
      <c r="R271" s="147"/>
      <c r="S271" s="147">
        <f>S272+S278</f>
        <v>920.614</v>
      </c>
      <c r="T271" s="230"/>
      <c r="U271" s="277"/>
      <c r="V271" s="231"/>
      <c r="W271" s="146"/>
      <c r="X271" s="232"/>
      <c r="Y271" s="232"/>
      <c r="Z271" s="232"/>
      <c r="AA271" s="232"/>
      <c r="AB271" s="232"/>
      <c r="AC271" s="232"/>
      <c r="AD271" s="232"/>
      <c r="AE271" s="232"/>
      <c r="AF271" s="232"/>
      <c r="AG271" s="232"/>
      <c r="AH271" s="232"/>
      <c r="AI271" s="232"/>
      <c r="AJ271" s="232"/>
      <c r="AK271" s="232"/>
      <c r="AL271" s="232"/>
      <c r="AM271" s="232"/>
      <c r="AN271" s="232"/>
      <c r="AO271" s="232"/>
      <c r="AP271" s="232"/>
      <c r="AQ271" s="232"/>
      <c r="AR271" s="232"/>
      <c r="AS271" s="232"/>
      <c r="AT271" s="232"/>
      <c r="AU271" s="232"/>
      <c r="AV271" s="232"/>
      <c r="AW271" s="232"/>
      <c r="AX271" s="232"/>
      <c r="AY271" s="232"/>
      <c r="AZ271" s="232"/>
      <c r="BA271" s="232"/>
      <c r="BB271" s="232"/>
      <c r="BC271" s="232"/>
      <c r="BD271" s="232"/>
      <c r="BE271" s="232"/>
      <c r="BF271" s="232"/>
      <c r="BG271" s="232"/>
      <c r="BH271" s="232"/>
      <c r="BI271" s="232"/>
      <c r="BJ271" s="232"/>
      <c r="BK271" s="232"/>
      <c r="BL271" s="232"/>
      <c r="BM271" s="232"/>
      <c r="BN271" s="232"/>
      <c r="BO271" s="232"/>
      <c r="BP271" s="232"/>
      <c r="BQ271" s="232"/>
      <c r="BR271" s="232"/>
      <c r="BS271" s="232"/>
      <c r="BT271" s="232"/>
      <c r="BU271" s="232"/>
      <c r="BV271" s="232"/>
      <c r="BW271" s="232"/>
      <c r="BX271" s="232"/>
      <c r="BY271" s="232"/>
      <c r="BZ271" s="232"/>
      <c r="CA271" s="232"/>
      <c r="CB271" s="232"/>
      <c r="CC271" s="232"/>
      <c r="CD271" s="232"/>
      <c r="CE271" s="232"/>
      <c r="CF271" s="232"/>
      <c r="CG271" s="232"/>
      <c r="CH271" s="232"/>
      <c r="CI271" s="232"/>
      <c r="CJ271" s="232"/>
      <c r="CK271" s="232"/>
      <c r="CL271" s="232"/>
      <c r="CM271" s="232"/>
      <c r="CN271" s="232"/>
      <c r="CO271" s="232"/>
      <c r="CP271" s="232"/>
      <c r="CQ271" s="232"/>
      <c r="CR271" s="232"/>
    </row>
    <row r="272" spans="1:96" s="181" customFormat="1" ht="33.75" customHeight="1">
      <c r="A272" s="3" t="s">
        <v>328</v>
      </c>
      <c r="B272" s="3" t="s">
        <v>32</v>
      </c>
      <c r="C272" s="279"/>
      <c r="D272" s="24">
        <f aca="true" t="shared" si="55" ref="D272:E276">F272+H272+J272+L272</f>
        <v>3294.987</v>
      </c>
      <c r="E272" s="24">
        <f t="shared" si="55"/>
        <v>3318.0739999999996</v>
      </c>
      <c r="F272" s="24">
        <f aca="true" t="shared" si="56" ref="F272:K272">F273+F274+F275</f>
        <v>0</v>
      </c>
      <c r="G272" s="24">
        <f t="shared" si="56"/>
        <v>0</v>
      </c>
      <c r="H272" s="24">
        <f t="shared" si="56"/>
        <v>0</v>
      </c>
      <c r="I272" s="24">
        <f t="shared" si="56"/>
        <v>0</v>
      </c>
      <c r="J272" s="24">
        <f t="shared" si="56"/>
        <v>1776.9869999999999</v>
      </c>
      <c r="K272" s="24">
        <f t="shared" si="56"/>
        <v>1405.1689999999999</v>
      </c>
      <c r="L272" s="24">
        <f>L273+L274+L275+L277</f>
        <v>1518</v>
      </c>
      <c r="M272" s="24">
        <f>M277+M275+M274+M276</f>
        <v>1912.905</v>
      </c>
      <c r="N272" s="24">
        <f>N273+N274+N275+N276+N277</f>
        <v>3318.074</v>
      </c>
      <c r="O272" s="24"/>
      <c r="P272" s="24"/>
      <c r="Q272" s="24"/>
      <c r="R272" s="24"/>
      <c r="S272" s="24">
        <f>S273+S274+S275</f>
        <v>920.614</v>
      </c>
      <c r="T272" s="187"/>
      <c r="U272" s="276"/>
      <c r="V272" s="188"/>
      <c r="W272" s="3"/>
      <c r="X272" s="180"/>
      <c r="Y272" s="180"/>
      <c r="Z272" s="180"/>
      <c r="AA272" s="180"/>
      <c r="AB272" s="180"/>
      <c r="AC272" s="180"/>
      <c r="AD272" s="180"/>
      <c r="AE272" s="180"/>
      <c r="AF272" s="180"/>
      <c r="AG272" s="180"/>
      <c r="AH272" s="180"/>
      <c r="AI272" s="180"/>
      <c r="AJ272" s="180"/>
      <c r="AK272" s="180"/>
      <c r="AL272" s="180"/>
      <c r="AM272" s="180"/>
      <c r="AN272" s="180"/>
      <c r="AO272" s="180"/>
      <c r="AP272" s="180"/>
      <c r="AQ272" s="180"/>
      <c r="AR272" s="180"/>
      <c r="AS272" s="180"/>
      <c r="AT272" s="180"/>
      <c r="AU272" s="180"/>
      <c r="AV272" s="180"/>
      <c r="AW272" s="180"/>
      <c r="AX272" s="180"/>
      <c r="AY272" s="180"/>
      <c r="AZ272" s="180"/>
      <c r="BA272" s="180"/>
      <c r="BB272" s="180"/>
      <c r="BC272" s="180"/>
      <c r="BD272" s="180"/>
      <c r="BE272" s="180"/>
      <c r="BF272" s="180"/>
      <c r="BG272" s="180"/>
      <c r="BH272" s="180"/>
      <c r="BI272" s="180"/>
      <c r="BJ272" s="180"/>
      <c r="BK272" s="180"/>
      <c r="BL272" s="180"/>
      <c r="BM272" s="180"/>
      <c r="BN272" s="180"/>
      <c r="BO272" s="180"/>
      <c r="BP272" s="180"/>
      <c r="BQ272" s="180"/>
      <c r="BR272" s="180"/>
      <c r="BS272" s="180"/>
      <c r="BT272" s="180"/>
      <c r="BU272" s="180"/>
      <c r="BV272" s="180"/>
      <c r="BW272" s="180"/>
      <c r="BX272" s="180"/>
      <c r="BY272" s="180"/>
      <c r="BZ272" s="180"/>
      <c r="CA272" s="180"/>
      <c r="CB272" s="180"/>
      <c r="CC272" s="180"/>
      <c r="CD272" s="180"/>
      <c r="CE272" s="180"/>
      <c r="CF272" s="180"/>
      <c r="CG272" s="180"/>
      <c r="CH272" s="180"/>
      <c r="CI272" s="180"/>
      <c r="CJ272" s="180"/>
      <c r="CK272" s="180"/>
      <c r="CL272" s="180"/>
      <c r="CM272" s="180"/>
      <c r="CN272" s="180"/>
      <c r="CO272" s="180"/>
      <c r="CP272" s="180"/>
      <c r="CQ272" s="180"/>
      <c r="CR272" s="180"/>
    </row>
    <row r="273" spans="1:96" s="181" customFormat="1" ht="45" customHeight="1">
      <c r="A273" s="273"/>
      <c r="B273" s="13" t="s">
        <v>859</v>
      </c>
      <c r="C273" s="179"/>
      <c r="D273" s="23">
        <f t="shared" si="55"/>
        <v>1694.703</v>
      </c>
      <c r="E273" s="23">
        <f t="shared" si="55"/>
        <v>1322.885</v>
      </c>
      <c r="F273" s="163"/>
      <c r="G273" s="24"/>
      <c r="H273" s="163"/>
      <c r="I273" s="24"/>
      <c r="J273" s="23">
        <v>1694.703</v>
      </c>
      <c r="K273" s="23">
        <v>1322.885</v>
      </c>
      <c r="L273" s="271"/>
      <c r="M273" s="272"/>
      <c r="N273" s="23">
        <f>E273</f>
        <v>1322.885</v>
      </c>
      <c r="O273" s="23"/>
      <c r="P273" s="187"/>
      <c r="Q273" s="187"/>
      <c r="R273" s="187"/>
      <c r="S273" s="172">
        <f>D273-E273</f>
        <v>371.818</v>
      </c>
      <c r="T273" s="187"/>
      <c r="U273" s="276"/>
      <c r="V273" s="188"/>
      <c r="W273" s="8" t="s">
        <v>740</v>
      </c>
      <c r="X273" s="180"/>
      <c r="Y273" s="180"/>
      <c r="Z273" s="180"/>
      <c r="AA273" s="180"/>
      <c r="AB273" s="180"/>
      <c r="AC273" s="180"/>
      <c r="AD273" s="180"/>
      <c r="AE273" s="180"/>
      <c r="AF273" s="180"/>
      <c r="AG273" s="180"/>
      <c r="AH273" s="180"/>
      <c r="AI273" s="180"/>
      <c r="AJ273" s="180"/>
      <c r="AK273" s="180"/>
      <c r="AL273" s="180"/>
      <c r="AM273" s="180"/>
      <c r="AN273" s="180"/>
      <c r="AO273" s="180"/>
      <c r="AP273" s="180"/>
      <c r="AQ273" s="180"/>
      <c r="AR273" s="180"/>
      <c r="AS273" s="180"/>
      <c r="AT273" s="180"/>
      <c r="AU273" s="180"/>
      <c r="AV273" s="180"/>
      <c r="AW273" s="180"/>
      <c r="AX273" s="180"/>
      <c r="AY273" s="180"/>
      <c r="AZ273" s="180"/>
      <c r="BA273" s="180"/>
      <c r="BB273" s="180"/>
      <c r="BC273" s="180"/>
      <c r="BD273" s="180"/>
      <c r="BE273" s="180"/>
      <c r="BF273" s="180"/>
      <c r="BG273" s="180"/>
      <c r="BH273" s="180"/>
      <c r="BI273" s="180"/>
      <c r="BJ273" s="180"/>
      <c r="BK273" s="180"/>
      <c r="BL273" s="180"/>
      <c r="BM273" s="180"/>
      <c r="BN273" s="180"/>
      <c r="BO273" s="180"/>
      <c r="BP273" s="180"/>
      <c r="BQ273" s="180"/>
      <c r="BR273" s="180"/>
      <c r="BS273" s="180"/>
      <c r="BT273" s="180"/>
      <c r="BU273" s="180"/>
      <c r="BV273" s="180"/>
      <c r="BW273" s="180"/>
      <c r="BX273" s="180"/>
      <c r="BY273" s="180"/>
      <c r="BZ273" s="180"/>
      <c r="CA273" s="180"/>
      <c r="CB273" s="180"/>
      <c r="CC273" s="180"/>
      <c r="CD273" s="180"/>
      <c r="CE273" s="180"/>
      <c r="CF273" s="180"/>
      <c r="CG273" s="180"/>
      <c r="CH273" s="180"/>
      <c r="CI273" s="180"/>
      <c r="CJ273" s="180"/>
      <c r="CK273" s="180"/>
      <c r="CL273" s="180"/>
      <c r="CM273" s="180"/>
      <c r="CN273" s="180"/>
      <c r="CO273" s="180"/>
      <c r="CP273" s="180"/>
      <c r="CQ273" s="180"/>
      <c r="CR273" s="180"/>
    </row>
    <row r="274" spans="1:96" s="181" customFormat="1" ht="50.25" customHeight="1">
      <c r="A274" s="273"/>
      <c r="B274" s="13" t="s">
        <v>362</v>
      </c>
      <c r="C274" s="179"/>
      <c r="D274" s="23">
        <f t="shared" si="55"/>
        <v>1418.078</v>
      </c>
      <c r="E274" s="23">
        <f t="shared" si="55"/>
        <v>870.463</v>
      </c>
      <c r="F274" s="163"/>
      <c r="G274" s="24"/>
      <c r="H274" s="163"/>
      <c r="I274" s="24"/>
      <c r="J274" s="23">
        <v>54.078</v>
      </c>
      <c r="K274" s="23">
        <v>54.078</v>
      </c>
      <c r="L274" s="190">
        <v>1364</v>
      </c>
      <c r="M274" s="191">
        <v>816.385</v>
      </c>
      <c r="N274" s="23">
        <f>E274</f>
        <v>870.463</v>
      </c>
      <c r="O274" s="23"/>
      <c r="P274" s="187"/>
      <c r="Q274" s="187"/>
      <c r="R274" s="187"/>
      <c r="S274" s="172">
        <f>D274-E274</f>
        <v>547.615</v>
      </c>
      <c r="T274" s="187"/>
      <c r="U274" s="276"/>
      <c r="V274" s="188"/>
      <c r="W274" s="8" t="s">
        <v>740</v>
      </c>
      <c r="X274" s="180"/>
      <c r="Y274" s="180"/>
      <c r="Z274" s="180"/>
      <c r="AA274" s="180"/>
      <c r="AB274" s="180"/>
      <c r="AC274" s="180"/>
      <c r="AD274" s="180"/>
      <c r="AE274" s="180"/>
      <c r="AF274" s="180"/>
      <c r="AG274" s="180"/>
      <c r="AH274" s="180"/>
      <c r="AI274" s="180"/>
      <c r="AJ274" s="180"/>
      <c r="AK274" s="180"/>
      <c r="AL274" s="180"/>
      <c r="AM274" s="180"/>
      <c r="AN274" s="180"/>
      <c r="AO274" s="180"/>
      <c r="AP274" s="180"/>
      <c r="AQ274" s="180"/>
      <c r="AR274" s="180"/>
      <c r="AS274" s="180"/>
      <c r="AT274" s="180"/>
      <c r="AU274" s="180"/>
      <c r="AV274" s="180"/>
      <c r="AW274" s="180"/>
      <c r="AX274" s="180"/>
      <c r="AY274" s="180"/>
      <c r="AZ274" s="180"/>
      <c r="BA274" s="180"/>
      <c r="BB274" s="180"/>
      <c r="BC274" s="180"/>
      <c r="BD274" s="180"/>
      <c r="BE274" s="180"/>
      <c r="BF274" s="180"/>
      <c r="BG274" s="180"/>
      <c r="BH274" s="180"/>
      <c r="BI274" s="180"/>
      <c r="BJ274" s="180"/>
      <c r="BK274" s="180"/>
      <c r="BL274" s="180"/>
      <c r="BM274" s="180"/>
      <c r="BN274" s="180"/>
      <c r="BO274" s="180"/>
      <c r="BP274" s="180"/>
      <c r="BQ274" s="180"/>
      <c r="BR274" s="180"/>
      <c r="BS274" s="180"/>
      <c r="BT274" s="180"/>
      <c r="BU274" s="180"/>
      <c r="BV274" s="180"/>
      <c r="BW274" s="180"/>
      <c r="BX274" s="180"/>
      <c r="BY274" s="180"/>
      <c r="BZ274" s="180"/>
      <c r="CA274" s="180"/>
      <c r="CB274" s="180"/>
      <c r="CC274" s="180"/>
      <c r="CD274" s="180"/>
      <c r="CE274" s="180"/>
      <c r="CF274" s="180"/>
      <c r="CG274" s="180"/>
      <c r="CH274" s="180"/>
      <c r="CI274" s="180"/>
      <c r="CJ274" s="180"/>
      <c r="CK274" s="180"/>
      <c r="CL274" s="180"/>
      <c r="CM274" s="180"/>
      <c r="CN274" s="180"/>
      <c r="CO274" s="180"/>
      <c r="CP274" s="180"/>
      <c r="CQ274" s="180"/>
      <c r="CR274" s="180"/>
    </row>
    <row r="275" spans="1:96" s="181" customFormat="1" ht="45.75" customHeight="1">
      <c r="A275" s="273"/>
      <c r="B275" s="111" t="s">
        <v>365</v>
      </c>
      <c r="C275" s="179"/>
      <c r="D275" s="23">
        <f t="shared" si="55"/>
        <v>182.206</v>
      </c>
      <c r="E275" s="23">
        <f t="shared" si="55"/>
        <v>181.02499999999998</v>
      </c>
      <c r="F275" s="163"/>
      <c r="G275" s="24"/>
      <c r="H275" s="163"/>
      <c r="I275" s="24"/>
      <c r="J275" s="23">
        <v>28.206</v>
      </c>
      <c r="K275" s="23">
        <v>28.206</v>
      </c>
      <c r="L275" s="190">
        <v>154</v>
      </c>
      <c r="M275" s="191">
        <v>152.819</v>
      </c>
      <c r="N275" s="23">
        <f>E275</f>
        <v>181.02499999999998</v>
      </c>
      <c r="O275" s="23"/>
      <c r="P275" s="187"/>
      <c r="Q275" s="187"/>
      <c r="R275" s="187"/>
      <c r="S275" s="172">
        <f>D275-E275</f>
        <v>1.1810000000000116</v>
      </c>
      <c r="T275" s="187"/>
      <c r="U275" s="276"/>
      <c r="V275" s="188"/>
      <c r="W275" s="8" t="s">
        <v>740</v>
      </c>
      <c r="X275" s="180"/>
      <c r="Y275" s="180"/>
      <c r="Z275" s="180"/>
      <c r="AA275" s="180"/>
      <c r="AB275" s="180"/>
      <c r="AC275" s="180"/>
      <c r="AD275" s="180"/>
      <c r="AE275" s="180"/>
      <c r="AF275" s="180"/>
      <c r="AG275" s="180"/>
      <c r="AH275" s="180"/>
      <c r="AI275" s="180"/>
      <c r="AJ275" s="180"/>
      <c r="AK275" s="180"/>
      <c r="AL275" s="180"/>
      <c r="AM275" s="180"/>
      <c r="AN275" s="180"/>
      <c r="AO275" s="180"/>
      <c r="AP275" s="180"/>
      <c r="AQ275" s="180"/>
      <c r="AR275" s="180"/>
      <c r="AS275" s="180"/>
      <c r="AT275" s="180"/>
      <c r="AU275" s="180"/>
      <c r="AV275" s="180"/>
      <c r="AW275" s="180"/>
      <c r="AX275" s="180"/>
      <c r="AY275" s="180"/>
      <c r="AZ275" s="180"/>
      <c r="BA275" s="180"/>
      <c r="BB275" s="180"/>
      <c r="BC275" s="180"/>
      <c r="BD275" s="180"/>
      <c r="BE275" s="180"/>
      <c r="BF275" s="180"/>
      <c r="BG275" s="180"/>
      <c r="BH275" s="180"/>
      <c r="BI275" s="180"/>
      <c r="BJ275" s="180"/>
      <c r="BK275" s="180"/>
      <c r="BL275" s="180"/>
      <c r="BM275" s="180"/>
      <c r="BN275" s="180"/>
      <c r="BO275" s="180"/>
      <c r="BP275" s="180"/>
      <c r="BQ275" s="180"/>
      <c r="BR275" s="180"/>
      <c r="BS275" s="180"/>
      <c r="BT275" s="180"/>
      <c r="BU275" s="180"/>
      <c r="BV275" s="180"/>
      <c r="BW275" s="180"/>
      <c r="BX275" s="180"/>
      <c r="BY275" s="180"/>
      <c r="BZ275" s="180"/>
      <c r="CA275" s="180"/>
      <c r="CB275" s="180"/>
      <c r="CC275" s="180"/>
      <c r="CD275" s="180"/>
      <c r="CE275" s="180"/>
      <c r="CF275" s="180"/>
      <c r="CG275" s="180"/>
      <c r="CH275" s="180"/>
      <c r="CI275" s="180"/>
      <c r="CJ275" s="180"/>
      <c r="CK275" s="180"/>
      <c r="CL275" s="180"/>
      <c r="CM275" s="180"/>
      <c r="CN275" s="180"/>
      <c r="CO275" s="180"/>
      <c r="CP275" s="180"/>
      <c r="CQ275" s="180"/>
      <c r="CR275" s="180"/>
    </row>
    <row r="276" spans="1:96" s="181" customFormat="1" ht="35.25" customHeight="1">
      <c r="A276" s="273"/>
      <c r="B276" s="111" t="s">
        <v>860</v>
      </c>
      <c r="C276" s="179"/>
      <c r="D276" s="23">
        <f t="shared" si="55"/>
        <v>0</v>
      </c>
      <c r="E276" s="23">
        <f t="shared" si="55"/>
        <v>96.21</v>
      </c>
      <c r="F276" s="163"/>
      <c r="G276" s="24"/>
      <c r="H276" s="163"/>
      <c r="I276" s="24"/>
      <c r="J276" s="23"/>
      <c r="K276" s="23"/>
      <c r="L276" s="190">
        <v>0</v>
      </c>
      <c r="M276" s="191">
        <v>96.21</v>
      </c>
      <c r="N276" s="23">
        <f>E276</f>
        <v>96.21</v>
      </c>
      <c r="O276" s="23"/>
      <c r="P276" s="187"/>
      <c r="Q276" s="187"/>
      <c r="R276" s="187"/>
      <c r="S276" s="172"/>
      <c r="T276" s="187"/>
      <c r="U276" s="276"/>
      <c r="V276" s="188"/>
      <c r="W276" s="8" t="s">
        <v>723</v>
      </c>
      <c r="X276" s="180"/>
      <c r="Y276" s="180"/>
      <c r="Z276" s="180"/>
      <c r="AA276" s="180"/>
      <c r="AB276" s="180"/>
      <c r="AC276" s="180"/>
      <c r="AD276" s="180"/>
      <c r="AE276" s="180"/>
      <c r="AF276" s="180"/>
      <c r="AG276" s="180"/>
      <c r="AH276" s="180"/>
      <c r="AI276" s="180"/>
      <c r="AJ276" s="180"/>
      <c r="AK276" s="180"/>
      <c r="AL276" s="180"/>
      <c r="AM276" s="180"/>
      <c r="AN276" s="180"/>
      <c r="AO276" s="180"/>
      <c r="AP276" s="180"/>
      <c r="AQ276" s="180"/>
      <c r="AR276" s="180"/>
      <c r="AS276" s="180"/>
      <c r="AT276" s="180"/>
      <c r="AU276" s="180"/>
      <c r="AV276" s="180"/>
      <c r="AW276" s="180"/>
      <c r="AX276" s="180"/>
      <c r="AY276" s="180"/>
      <c r="AZ276" s="180"/>
      <c r="BA276" s="180"/>
      <c r="BB276" s="180"/>
      <c r="BC276" s="180"/>
      <c r="BD276" s="180"/>
      <c r="BE276" s="180"/>
      <c r="BF276" s="180"/>
      <c r="BG276" s="180"/>
      <c r="BH276" s="180"/>
      <c r="BI276" s="180"/>
      <c r="BJ276" s="180"/>
      <c r="BK276" s="180"/>
      <c r="BL276" s="180"/>
      <c r="BM276" s="180"/>
      <c r="BN276" s="180"/>
      <c r="BO276" s="180"/>
      <c r="BP276" s="180"/>
      <c r="BQ276" s="180"/>
      <c r="BR276" s="180"/>
      <c r="BS276" s="180"/>
      <c r="BT276" s="180"/>
      <c r="BU276" s="180"/>
      <c r="BV276" s="180"/>
      <c r="BW276" s="180"/>
      <c r="BX276" s="180"/>
      <c r="BY276" s="180"/>
      <c r="BZ276" s="180"/>
      <c r="CA276" s="180"/>
      <c r="CB276" s="180"/>
      <c r="CC276" s="180"/>
      <c r="CD276" s="180"/>
      <c r="CE276" s="180"/>
      <c r="CF276" s="180"/>
      <c r="CG276" s="180"/>
      <c r="CH276" s="180"/>
      <c r="CI276" s="180"/>
      <c r="CJ276" s="180"/>
      <c r="CK276" s="180"/>
      <c r="CL276" s="180"/>
      <c r="CM276" s="180"/>
      <c r="CN276" s="180"/>
      <c r="CO276" s="180"/>
      <c r="CP276" s="180"/>
      <c r="CQ276" s="180"/>
      <c r="CR276" s="180"/>
    </row>
    <row r="277" spans="1:96" s="181" customFormat="1" ht="34.5" customHeight="1">
      <c r="A277" s="273"/>
      <c r="B277" s="111" t="s">
        <v>861</v>
      </c>
      <c r="C277" s="179"/>
      <c r="D277" s="23">
        <v>0</v>
      </c>
      <c r="E277" s="23">
        <f>G277+I277+K277+M277</f>
        <v>847.491</v>
      </c>
      <c r="F277" s="163"/>
      <c r="G277" s="24"/>
      <c r="H277" s="163"/>
      <c r="I277" s="24"/>
      <c r="J277" s="23"/>
      <c r="K277" s="23"/>
      <c r="L277" s="271">
        <v>0</v>
      </c>
      <c r="M277" s="191">
        <v>847.491</v>
      </c>
      <c r="N277" s="23">
        <f>E277</f>
        <v>847.491</v>
      </c>
      <c r="O277" s="23"/>
      <c r="P277" s="187"/>
      <c r="Q277" s="187"/>
      <c r="R277" s="187"/>
      <c r="S277" s="172"/>
      <c r="T277" s="187"/>
      <c r="U277" s="276"/>
      <c r="V277" s="188"/>
      <c r="W277" s="8" t="s">
        <v>723</v>
      </c>
      <c r="X277" s="180"/>
      <c r="Y277" s="180"/>
      <c r="Z277" s="180"/>
      <c r="AA277" s="180"/>
      <c r="AB277" s="180"/>
      <c r="AC277" s="180"/>
      <c r="AD277" s="180"/>
      <c r="AE277" s="180"/>
      <c r="AF277" s="180"/>
      <c r="AG277" s="180"/>
      <c r="AH277" s="180"/>
      <c r="AI277" s="180"/>
      <c r="AJ277" s="180"/>
      <c r="AK277" s="180"/>
      <c r="AL277" s="180"/>
      <c r="AM277" s="180"/>
      <c r="AN277" s="180"/>
      <c r="AO277" s="180"/>
      <c r="AP277" s="180"/>
      <c r="AQ277" s="180"/>
      <c r="AR277" s="180"/>
      <c r="AS277" s="180"/>
      <c r="AT277" s="180"/>
      <c r="AU277" s="180"/>
      <c r="AV277" s="180"/>
      <c r="AW277" s="180"/>
      <c r="AX277" s="180"/>
      <c r="AY277" s="180"/>
      <c r="AZ277" s="180"/>
      <c r="BA277" s="180"/>
      <c r="BB277" s="180"/>
      <c r="BC277" s="180"/>
      <c r="BD277" s="180"/>
      <c r="BE277" s="180"/>
      <c r="BF277" s="180"/>
      <c r="BG277" s="180"/>
      <c r="BH277" s="180"/>
      <c r="BI277" s="180"/>
      <c r="BJ277" s="180"/>
      <c r="BK277" s="180"/>
      <c r="BL277" s="180"/>
      <c r="BM277" s="180"/>
      <c r="BN277" s="180"/>
      <c r="BO277" s="180"/>
      <c r="BP277" s="180"/>
      <c r="BQ277" s="180"/>
      <c r="BR277" s="180"/>
      <c r="BS277" s="180"/>
      <c r="BT277" s="180"/>
      <c r="BU277" s="180"/>
      <c r="BV277" s="180"/>
      <c r="BW277" s="180"/>
      <c r="BX277" s="180"/>
      <c r="BY277" s="180"/>
      <c r="BZ277" s="180"/>
      <c r="CA277" s="180"/>
      <c r="CB277" s="180"/>
      <c r="CC277" s="180"/>
      <c r="CD277" s="180"/>
      <c r="CE277" s="180"/>
      <c r="CF277" s="180"/>
      <c r="CG277" s="180"/>
      <c r="CH277" s="180"/>
      <c r="CI277" s="180"/>
      <c r="CJ277" s="180"/>
      <c r="CK277" s="180"/>
      <c r="CL277" s="180"/>
      <c r="CM277" s="180"/>
      <c r="CN277" s="180"/>
      <c r="CO277" s="180"/>
      <c r="CP277" s="180"/>
      <c r="CQ277" s="180"/>
      <c r="CR277" s="180"/>
    </row>
    <row r="278" spans="1:23" ht="31.5" customHeight="1">
      <c r="A278" s="146" t="s">
        <v>409</v>
      </c>
      <c r="B278" s="146" t="s">
        <v>862</v>
      </c>
      <c r="C278" s="146"/>
      <c r="D278" s="146"/>
      <c r="E278" s="147">
        <f>G278+I278+K278+M278</f>
        <v>53584.295000000006</v>
      </c>
      <c r="F278" s="146">
        <f>F279+F284+F289+F294+F299+F304</f>
        <v>0</v>
      </c>
      <c r="G278" s="146">
        <f>G279+G284+G289</f>
        <v>5762.949999999999</v>
      </c>
      <c r="H278" s="146">
        <f>H279+H284+H289</f>
        <v>0</v>
      </c>
      <c r="I278" s="158">
        <f>I279+I284+I289+I294+I299+I304</f>
        <v>16634.100000000002</v>
      </c>
      <c r="J278" s="146">
        <f>J279+J284+J289+J294+J299+J304</f>
        <v>0</v>
      </c>
      <c r="K278" s="146">
        <f>K299+K304+K309+K314+K319+K324</f>
        <v>11657.676</v>
      </c>
      <c r="L278" s="146">
        <f>L279+L284+L289+L294+L299+L304</f>
        <v>0</v>
      </c>
      <c r="M278" s="146">
        <f>M284+M304+M309+M314+M319+M324+M328+M333+M338</f>
        <v>19529.569000000003</v>
      </c>
      <c r="N278" s="147">
        <f>N279+N284+N289+N294+N299+N304+N309+N314+N319+N324+N328+N333+N338</f>
        <v>53584.295000000006</v>
      </c>
      <c r="O278" s="147"/>
      <c r="P278" s="170"/>
      <c r="Q278" s="170"/>
      <c r="R278" s="170"/>
      <c r="S278" s="147"/>
      <c r="T278" s="170"/>
      <c r="U278" s="149"/>
      <c r="V278" s="149"/>
      <c r="W278" s="149"/>
    </row>
    <row r="279" spans="1:23" s="1" customFormat="1" ht="31.5" customHeight="1">
      <c r="A279" s="14" t="s">
        <v>329</v>
      </c>
      <c r="B279" s="13" t="s">
        <v>863</v>
      </c>
      <c r="C279" s="8"/>
      <c r="D279" s="8"/>
      <c r="E279" s="23">
        <v>3726.4</v>
      </c>
      <c r="F279" s="8">
        <v>0</v>
      </c>
      <c r="G279" s="3">
        <v>3168.99</v>
      </c>
      <c r="H279" s="8">
        <v>0</v>
      </c>
      <c r="I279" s="24">
        <v>557.41</v>
      </c>
      <c r="J279" s="3"/>
      <c r="K279" s="3"/>
      <c r="L279" s="8"/>
      <c r="M279" s="8"/>
      <c r="N279" s="23">
        <v>3726.4</v>
      </c>
      <c r="O279" s="32"/>
      <c r="P279" s="152"/>
      <c r="Q279" s="152"/>
      <c r="R279" s="152"/>
      <c r="S279" s="153"/>
      <c r="T279" s="152"/>
      <c r="U279" s="8"/>
      <c r="V279" s="8"/>
      <c r="W279" s="8" t="s">
        <v>579</v>
      </c>
    </row>
    <row r="280" spans="1:23" s="1" customFormat="1" ht="15.75" customHeight="1">
      <c r="A280" s="14"/>
      <c r="B280" s="8" t="s">
        <v>864</v>
      </c>
      <c r="C280" s="3"/>
      <c r="D280" s="3"/>
      <c r="E280" s="3"/>
      <c r="F280" s="3"/>
      <c r="G280" s="3"/>
      <c r="H280" s="3"/>
      <c r="I280" s="3"/>
      <c r="J280" s="3"/>
      <c r="K280" s="3"/>
      <c r="L280" s="8"/>
      <c r="M280" s="8"/>
      <c r="N280" s="23"/>
      <c r="O280" s="24"/>
      <c r="P280" s="152"/>
      <c r="Q280" s="152"/>
      <c r="R280" s="152"/>
      <c r="S280" s="153"/>
      <c r="T280" s="152"/>
      <c r="U280" s="8"/>
      <c r="V280" s="8"/>
      <c r="W280" s="8"/>
    </row>
    <row r="281" spans="1:23" s="1" customFormat="1" ht="15.75" customHeight="1">
      <c r="A281" s="14"/>
      <c r="B281" s="8" t="s">
        <v>865</v>
      </c>
      <c r="C281" s="3"/>
      <c r="D281" s="8"/>
      <c r="E281" s="8"/>
      <c r="F281" s="8">
        <v>0</v>
      </c>
      <c r="G281" s="8">
        <v>2121.88</v>
      </c>
      <c r="H281" s="8">
        <v>0</v>
      </c>
      <c r="I281" s="8">
        <v>520.76</v>
      </c>
      <c r="J281" s="3"/>
      <c r="K281" s="3"/>
      <c r="L281" s="8"/>
      <c r="M281" s="8"/>
      <c r="N281" s="23"/>
      <c r="O281" s="23"/>
      <c r="P281" s="152"/>
      <c r="Q281" s="152"/>
      <c r="R281" s="152"/>
      <c r="S281" s="153"/>
      <c r="T281" s="152"/>
      <c r="U281" s="8"/>
      <c r="V281" s="8"/>
      <c r="W281" s="8"/>
    </row>
    <row r="282" spans="1:23" s="1" customFormat="1" ht="15.75" customHeight="1">
      <c r="A282" s="14"/>
      <c r="B282" s="8" t="s">
        <v>866</v>
      </c>
      <c r="C282" s="8"/>
      <c r="D282" s="8"/>
      <c r="E282" s="8"/>
      <c r="F282" s="8">
        <v>0</v>
      </c>
      <c r="G282" s="8">
        <v>1047.11</v>
      </c>
      <c r="H282" s="8"/>
      <c r="I282" s="8"/>
      <c r="J282" s="8"/>
      <c r="K282" s="8"/>
      <c r="L282" s="8"/>
      <c r="M282" s="8"/>
      <c r="N282" s="23"/>
      <c r="O282" s="16"/>
      <c r="P282" s="152"/>
      <c r="Q282" s="152"/>
      <c r="R282" s="152"/>
      <c r="S282" s="153"/>
      <c r="T282" s="152"/>
      <c r="U282" s="8"/>
      <c r="V282" s="8"/>
      <c r="W282" s="8"/>
    </row>
    <row r="283" spans="1:23" s="1" customFormat="1" ht="15.75" customHeight="1">
      <c r="A283" s="14"/>
      <c r="B283" s="8" t="s">
        <v>867</v>
      </c>
      <c r="C283" s="8"/>
      <c r="D283" s="8"/>
      <c r="E283" s="8"/>
      <c r="F283" s="8"/>
      <c r="G283" s="8"/>
      <c r="H283" s="8">
        <v>0</v>
      </c>
      <c r="I283" s="8">
        <v>36.65</v>
      </c>
      <c r="J283" s="8"/>
      <c r="K283" s="8"/>
      <c r="L283" s="8"/>
      <c r="M283" s="8"/>
      <c r="N283" s="23"/>
      <c r="O283" s="23"/>
      <c r="P283" s="152"/>
      <c r="Q283" s="152"/>
      <c r="R283" s="152"/>
      <c r="S283" s="153"/>
      <c r="T283" s="152"/>
      <c r="U283" s="8"/>
      <c r="V283" s="8"/>
      <c r="W283" s="8"/>
    </row>
    <row r="284" spans="1:23" s="1" customFormat="1" ht="31.5" customHeight="1">
      <c r="A284" s="14" t="s">
        <v>868</v>
      </c>
      <c r="B284" s="13" t="s">
        <v>869</v>
      </c>
      <c r="C284" s="8"/>
      <c r="D284" s="8"/>
      <c r="E284" s="8">
        <v>3729.345</v>
      </c>
      <c r="F284" s="8">
        <v>0</v>
      </c>
      <c r="G284" s="3">
        <v>2296.97</v>
      </c>
      <c r="H284" s="8">
        <v>0</v>
      </c>
      <c r="I284" s="3">
        <v>1428.78</v>
      </c>
      <c r="J284" s="8"/>
      <c r="K284" s="8"/>
      <c r="L284" s="3">
        <v>0</v>
      </c>
      <c r="M284" s="3">
        <v>3.595</v>
      </c>
      <c r="N284" s="23">
        <v>3729.345</v>
      </c>
      <c r="O284" s="32"/>
      <c r="P284" s="152"/>
      <c r="Q284" s="152"/>
      <c r="R284" s="152"/>
      <c r="S284" s="153"/>
      <c r="T284" s="152"/>
      <c r="U284" s="8"/>
      <c r="V284" s="8"/>
      <c r="W284" s="8" t="s">
        <v>579</v>
      </c>
    </row>
    <row r="285" spans="1:23" s="1" customFormat="1" ht="15.75" customHeight="1">
      <c r="A285" s="14"/>
      <c r="B285" s="8" t="s">
        <v>864</v>
      </c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23"/>
      <c r="O285" s="23"/>
      <c r="P285" s="152"/>
      <c r="Q285" s="152"/>
      <c r="R285" s="152"/>
      <c r="S285" s="153"/>
      <c r="T285" s="152"/>
      <c r="U285" s="8"/>
      <c r="V285" s="8"/>
      <c r="W285" s="8"/>
    </row>
    <row r="286" spans="1:23" s="1" customFormat="1" ht="15.75" customHeight="1">
      <c r="A286" s="14"/>
      <c r="B286" s="8" t="s">
        <v>865</v>
      </c>
      <c r="C286" s="8"/>
      <c r="D286" s="8"/>
      <c r="E286" s="8"/>
      <c r="F286" s="8">
        <v>0</v>
      </c>
      <c r="G286" s="8">
        <v>893.12</v>
      </c>
      <c r="H286" s="8">
        <v>0</v>
      </c>
      <c r="I286" s="8">
        <v>1428.78</v>
      </c>
      <c r="J286" s="8"/>
      <c r="K286" s="8"/>
      <c r="L286" s="8">
        <v>0</v>
      </c>
      <c r="M286" s="8">
        <v>3.595</v>
      </c>
      <c r="N286" s="23"/>
      <c r="O286" s="23"/>
      <c r="P286" s="152"/>
      <c r="Q286" s="152"/>
      <c r="R286" s="152"/>
      <c r="S286" s="153"/>
      <c r="T286" s="152"/>
      <c r="U286" s="8"/>
      <c r="V286" s="8"/>
      <c r="W286" s="8"/>
    </row>
    <row r="287" spans="1:23" s="1" customFormat="1" ht="15.75" customHeight="1">
      <c r="A287" s="14"/>
      <c r="B287" s="8" t="s">
        <v>866</v>
      </c>
      <c r="C287" s="8"/>
      <c r="D287" s="8"/>
      <c r="E287" s="8"/>
      <c r="F287" s="8">
        <v>0</v>
      </c>
      <c r="G287" s="8">
        <v>1403.85</v>
      </c>
      <c r="H287" s="8"/>
      <c r="I287" s="8"/>
      <c r="J287" s="8"/>
      <c r="K287" s="8"/>
      <c r="L287" s="8"/>
      <c r="M287" s="8"/>
      <c r="N287" s="23"/>
      <c r="O287" s="23"/>
      <c r="P287" s="152"/>
      <c r="Q287" s="152"/>
      <c r="R287" s="152"/>
      <c r="S287" s="153"/>
      <c r="T287" s="152"/>
      <c r="U287" s="8"/>
      <c r="V287" s="8"/>
      <c r="W287" s="8"/>
    </row>
    <row r="288" spans="1:23" s="1" customFormat="1" ht="15.75" customHeight="1">
      <c r="A288" s="14"/>
      <c r="B288" s="8" t="s">
        <v>870</v>
      </c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23"/>
      <c r="O288" s="23"/>
      <c r="P288" s="152"/>
      <c r="Q288" s="152"/>
      <c r="R288" s="152"/>
      <c r="S288" s="153"/>
      <c r="T288" s="152"/>
      <c r="U288" s="8"/>
      <c r="V288" s="8"/>
      <c r="W288" s="8"/>
    </row>
    <row r="289" spans="1:23" s="1" customFormat="1" ht="31.5" customHeight="1">
      <c r="A289" s="14" t="s">
        <v>871</v>
      </c>
      <c r="B289" s="13" t="s">
        <v>872</v>
      </c>
      <c r="C289" s="8">
        <v>822.014</v>
      </c>
      <c r="D289" s="8"/>
      <c r="E289" s="23">
        <v>9706.42</v>
      </c>
      <c r="F289" s="8">
        <v>0</v>
      </c>
      <c r="G289" s="3">
        <v>296.99</v>
      </c>
      <c r="H289" s="8">
        <v>0</v>
      </c>
      <c r="I289" s="3">
        <v>9409.43</v>
      </c>
      <c r="J289" s="8"/>
      <c r="K289" s="8"/>
      <c r="L289" s="8"/>
      <c r="M289" s="8"/>
      <c r="N289" s="23">
        <v>9706.42</v>
      </c>
      <c r="O289" s="32"/>
      <c r="P289" s="152"/>
      <c r="Q289" s="152"/>
      <c r="R289" s="152"/>
      <c r="S289" s="153"/>
      <c r="T289" s="152"/>
      <c r="U289" s="8"/>
      <c r="V289" s="8"/>
      <c r="W289" s="8" t="s">
        <v>579</v>
      </c>
    </row>
    <row r="290" spans="1:23" s="1" customFormat="1" ht="15.75" customHeight="1">
      <c r="A290" s="14"/>
      <c r="B290" s="8" t="s">
        <v>864</v>
      </c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23"/>
      <c r="O290" s="23"/>
      <c r="P290" s="152"/>
      <c r="Q290" s="152"/>
      <c r="R290" s="152"/>
      <c r="S290" s="153"/>
      <c r="T290" s="152"/>
      <c r="U290" s="8"/>
      <c r="V290" s="8"/>
      <c r="W290" s="8"/>
    </row>
    <row r="291" spans="1:23" s="1" customFormat="1" ht="15.75" customHeight="1">
      <c r="A291" s="8"/>
      <c r="B291" s="8" t="s">
        <v>865</v>
      </c>
      <c r="C291" s="8"/>
      <c r="D291" s="8"/>
      <c r="E291" s="8"/>
      <c r="F291" s="8">
        <v>0</v>
      </c>
      <c r="G291" s="8">
        <v>296.99</v>
      </c>
      <c r="H291" s="8">
        <v>0</v>
      </c>
      <c r="I291" s="8">
        <v>1385.23</v>
      </c>
      <c r="J291" s="8"/>
      <c r="K291" s="8"/>
      <c r="L291" s="8"/>
      <c r="M291" s="8"/>
      <c r="N291" s="23"/>
      <c r="O291" s="23"/>
      <c r="P291" s="152"/>
      <c r="Q291" s="152"/>
      <c r="R291" s="152"/>
      <c r="S291" s="153"/>
      <c r="T291" s="152"/>
      <c r="U291" s="8"/>
      <c r="V291" s="8"/>
      <c r="W291" s="8"/>
    </row>
    <row r="292" spans="1:23" s="1" customFormat="1" ht="15.75" customHeight="1">
      <c r="A292" s="8"/>
      <c r="B292" s="8" t="s">
        <v>866</v>
      </c>
      <c r="C292" s="8"/>
      <c r="D292" s="8"/>
      <c r="E292" s="8"/>
      <c r="F292" s="8"/>
      <c r="G292" s="8"/>
      <c r="H292" s="8">
        <v>0</v>
      </c>
      <c r="I292" s="8">
        <v>8024.2</v>
      </c>
      <c r="J292" s="8"/>
      <c r="K292" s="8"/>
      <c r="L292" s="8"/>
      <c r="M292" s="8"/>
      <c r="N292" s="23"/>
      <c r="O292" s="23"/>
      <c r="P292" s="152"/>
      <c r="Q292" s="152"/>
      <c r="R292" s="152"/>
      <c r="S292" s="153"/>
      <c r="T292" s="152"/>
      <c r="U292" s="8"/>
      <c r="V292" s="8"/>
      <c r="W292" s="8"/>
    </row>
    <row r="293" spans="1:23" s="1" customFormat="1" ht="15.75" customHeight="1">
      <c r="A293" s="8"/>
      <c r="B293" s="8" t="s">
        <v>870</v>
      </c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23"/>
      <c r="O293" s="23"/>
      <c r="P293" s="152"/>
      <c r="Q293" s="152"/>
      <c r="R293" s="152"/>
      <c r="S293" s="153"/>
      <c r="T293" s="152"/>
      <c r="U293" s="8"/>
      <c r="V293" s="8"/>
      <c r="W293" s="8"/>
    </row>
    <row r="294" spans="1:23" s="1" customFormat="1" ht="31.5" customHeight="1">
      <c r="A294" s="14" t="s">
        <v>470</v>
      </c>
      <c r="B294" s="13" t="s">
        <v>873</v>
      </c>
      <c r="C294" s="8"/>
      <c r="D294" s="8"/>
      <c r="E294" s="23">
        <v>637.56</v>
      </c>
      <c r="F294" s="8"/>
      <c r="G294" s="8"/>
      <c r="H294" s="8">
        <v>0</v>
      </c>
      <c r="I294" s="3">
        <v>637.56</v>
      </c>
      <c r="J294" s="8"/>
      <c r="K294" s="8"/>
      <c r="L294" s="8"/>
      <c r="M294" s="8"/>
      <c r="N294" s="23">
        <v>637.56</v>
      </c>
      <c r="O294" s="32"/>
      <c r="P294" s="152"/>
      <c r="Q294" s="152"/>
      <c r="R294" s="152"/>
      <c r="S294" s="153"/>
      <c r="T294" s="152"/>
      <c r="U294" s="8"/>
      <c r="V294" s="8"/>
      <c r="W294" s="8" t="s">
        <v>579</v>
      </c>
    </row>
    <row r="295" spans="1:23" s="1" customFormat="1" ht="15.75" customHeight="1">
      <c r="A295" s="8"/>
      <c r="B295" s="13" t="s">
        <v>864</v>
      </c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23"/>
      <c r="O295" s="23"/>
      <c r="P295" s="152"/>
      <c r="Q295" s="152"/>
      <c r="R295" s="152"/>
      <c r="S295" s="153"/>
      <c r="T295" s="152"/>
      <c r="U295" s="8"/>
      <c r="V295" s="8"/>
      <c r="W295" s="8"/>
    </row>
    <row r="296" spans="1:23" s="1" customFormat="1" ht="15.75" customHeight="1">
      <c r="A296" s="8"/>
      <c r="B296" s="8" t="s">
        <v>865</v>
      </c>
      <c r="C296" s="8"/>
      <c r="D296" s="8"/>
      <c r="E296" s="8"/>
      <c r="F296" s="8"/>
      <c r="G296" s="8"/>
      <c r="H296" s="8">
        <v>0</v>
      </c>
      <c r="I296" s="8">
        <v>53.126</v>
      </c>
      <c r="J296" s="8"/>
      <c r="K296" s="8"/>
      <c r="L296" s="8"/>
      <c r="M296" s="8"/>
      <c r="N296" s="23"/>
      <c r="O296" s="23"/>
      <c r="P296" s="152"/>
      <c r="Q296" s="152"/>
      <c r="R296" s="152"/>
      <c r="S296" s="153"/>
      <c r="T296" s="152"/>
      <c r="U296" s="8"/>
      <c r="V296" s="8"/>
      <c r="W296" s="8"/>
    </row>
    <row r="297" spans="1:23" s="1" customFormat="1" ht="15.75" customHeight="1">
      <c r="A297" s="8"/>
      <c r="B297" s="8" t="s">
        <v>866</v>
      </c>
      <c r="C297" s="8"/>
      <c r="D297" s="8"/>
      <c r="E297" s="8"/>
      <c r="F297" s="8"/>
      <c r="G297" s="8"/>
      <c r="H297" s="8">
        <v>0</v>
      </c>
      <c r="I297" s="8">
        <v>584.43</v>
      </c>
      <c r="J297" s="8"/>
      <c r="K297" s="8"/>
      <c r="L297" s="8"/>
      <c r="M297" s="8"/>
      <c r="N297" s="23"/>
      <c r="O297" s="23"/>
      <c r="P297" s="152"/>
      <c r="Q297" s="152"/>
      <c r="R297" s="152"/>
      <c r="S297" s="153"/>
      <c r="T297" s="152"/>
      <c r="U297" s="8"/>
      <c r="V297" s="8"/>
      <c r="W297" s="8"/>
    </row>
    <row r="298" spans="1:23" s="1" customFormat="1" ht="15.75" customHeight="1">
      <c r="A298" s="8"/>
      <c r="B298" s="8" t="s">
        <v>870</v>
      </c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23"/>
      <c r="O298" s="23"/>
      <c r="P298" s="152"/>
      <c r="Q298" s="152"/>
      <c r="R298" s="152"/>
      <c r="S298" s="153"/>
      <c r="T298" s="152"/>
      <c r="U298" s="8"/>
      <c r="V298" s="8"/>
      <c r="W298" s="8"/>
    </row>
    <row r="299" spans="1:23" s="1" customFormat="1" ht="15.75" customHeight="1">
      <c r="A299" s="14" t="s">
        <v>476</v>
      </c>
      <c r="B299" s="13" t="s">
        <v>874</v>
      </c>
      <c r="C299" s="8"/>
      <c r="D299" s="8"/>
      <c r="E299" s="23">
        <v>7960.22</v>
      </c>
      <c r="F299" s="8"/>
      <c r="G299" s="8"/>
      <c r="H299" s="8">
        <v>0</v>
      </c>
      <c r="I299" s="3">
        <v>3501.28</v>
      </c>
      <c r="J299" s="8">
        <v>0</v>
      </c>
      <c r="K299" s="3">
        <v>4458.94</v>
      </c>
      <c r="L299" s="8"/>
      <c r="M299" s="8"/>
      <c r="N299" s="23">
        <v>7960.22</v>
      </c>
      <c r="O299" s="32"/>
      <c r="P299" s="152"/>
      <c r="Q299" s="152"/>
      <c r="R299" s="152"/>
      <c r="S299" s="153"/>
      <c r="T299" s="152"/>
      <c r="U299" s="8"/>
      <c r="V299" s="8"/>
      <c r="W299" s="8" t="s">
        <v>576</v>
      </c>
    </row>
    <row r="300" spans="1:23" s="1" customFormat="1" ht="15.75" customHeight="1">
      <c r="A300" s="8"/>
      <c r="B300" s="13" t="s">
        <v>864</v>
      </c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23"/>
      <c r="O300" s="23"/>
      <c r="P300" s="152"/>
      <c r="Q300" s="152"/>
      <c r="R300" s="152"/>
      <c r="S300" s="153"/>
      <c r="T300" s="152"/>
      <c r="U300" s="8"/>
      <c r="V300" s="8"/>
      <c r="W300" s="8"/>
    </row>
    <row r="301" spans="1:23" s="1" customFormat="1" ht="15.75" customHeight="1">
      <c r="A301" s="8"/>
      <c r="B301" s="8" t="s">
        <v>865</v>
      </c>
      <c r="C301" s="8"/>
      <c r="D301" s="8"/>
      <c r="E301" s="8"/>
      <c r="F301" s="8"/>
      <c r="G301" s="8"/>
      <c r="H301" s="8">
        <v>0</v>
      </c>
      <c r="I301" s="8">
        <v>1110.37</v>
      </c>
      <c r="J301" s="8">
        <v>0</v>
      </c>
      <c r="K301" s="8">
        <v>2312.5</v>
      </c>
      <c r="L301" s="8"/>
      <c r="M301" s="8"/>
      <c r="N301" s="23"/>
      <c r="O301" s="23"/>
      <c r="P301" s="152"/>
      <c r="Q301" s="152"/>
      <c r="R301" s="152"/>
      <c r="S301" s="153"/>
      <c r="T301" s="152"/>
      <c r="U301" s="8"/>
      <c r="V301" s="8"/>
      <c r="W301" s="8"/>
    </row>
    <row r="302" spans="1:23" s="1" customFormat="1" ht="15.75" customHeight="1">
      <c r="A302" s="8"/>
      <c r="B302" s="8" t="s">
        <v>866</v>
      </c>
      <c r="C302" s="8"/>
      <c r="D302" s="8"/>
      <c r="E302" s="8"/>
      <c r="F302" s="8"/>
      <c r="G302" s="8"/>
      <c r="H302" s="8">
        <v>0</v>
      </c>
      <c r="I302" s="8">
        <v>2390.91</v>
      </c>
      <c r="J302" s="8">
        <v>0</v>
      </c>
      <c r="K302" s="8">
        <v>2146.44</v>
      </c>
      <c r="L302" s="8"/>
      <c r="M302" s="8"/>
      <c r="N302" s="23"/>
      <c r="O302" s="23"/>
      <c r="P302" s="152"/>
      <c r="Q302" s="152"/>
      <c r="R302" s="152"/>
      <c r="S302" s="153"/>
      <c r="T302" s="152"/>
      <c r="U302" s="8"/>
      <c r="V302" s="8"/>
      <c r="W302" s="8"/>
    </row>
    <row r="303" spans="1:23" s="1" customFormat="1" ht="15.75" customHeight="1">
      <c r="A303" s="8"/>
      <c r="B303" s="8" t="s">
        <v>870</v>
      </c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23"/>
      <c r="O303" s="23"/>
      <c r="P303" s="152"/>
      <c r="Q303" s="152"/>
      <c r="R303" s="152"/>
      <c r="S303" s="153"/>
      <c r="T303" s="152"/>
      <c r="U303" s="8"/>
      <c r="V303" s="8"/>
      <c r="W303" s="8"/>
    </row>
    <row r="304" spans="1:23" s="1" customFormat="1" ht="31.5" customHeight="1">
      <c r="A304" s="14" t="s">
        <v>875</v>
      </c>
      <c r="B304" s="13" t="s">
        <v>876</v>
      </c>
      <c r="C304" s="8"/>
      <c r="D304" s="8"/>
      <c r="E304" s="23">
        <v>6793.17</v>
      </c>
      <c r="F304" s="8"/>
      <c r="G304" s="8"/>
      <c r="H304" s="8">
        <v>0</v>
      </c>
      <c r="I304" s="3">
        <v>1099.64</v>
      </c>
      <c r="J304" s="8">
        <v>0</v>
      </c>
      <c r="K304" s="3">
        <v>3543.72</v>
      </c>
      <c r="L304" s="8">
        <v>0</v>
      </c>
      <c r="M304" s="3">
        <v>2149.81</v>
      </c>
      <c r="N304" s="23">
        <v>6793.17</v>
      </c>
      <c r="O304" s="32"/>
      <c r="P304" s="152"/>
      <c r="Q304" s="152"/>
      <c r="R304" s="152"/>
      <c r="S304" s="153"/>
      <c r="T304" s="152"/>
      <c r="U304" s="8"/>
      <c r="V304" s="8"/>
      <c r="W304" s="8" t="s">
        <v>579</v>
      </c>
    </row>
    <row r="305" spans="1:23" s="1" customFormat="1" ht="15.75" customHeight="1">
      <c r="A305" s="8"/>
      <c r="B305" s="13" t="s">
        <v>864</v>
      </c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23"/>
      <c r="O305" s="23"/>
      <c r="P305" s="152"/>
      <c r="Q305" s="152"/>
      <c r="R305" s="152"/>
      <c r="S305" s="153"/>
      <c r="T305" s="152"/>
      <c r="U305" s="8"/>
      <c r="V305" s="8"/>
      <c r="W305" s="8"/>
    </row>
    <row r="306" spans="1:23" s="1" customFormat="1" ht="15.75" customHeight="1">
      <c r="A306" s="8"/>
      <c r="B306" s="8" t="s">
        <v>865</v>
      </c>
      <c r="C306" s="8"/>
      <c r="D306" s="8"/>
      <c r="E306" s="8"/>
      <c r="F306" s="8"/>
      <c r="G306" s="8"/>
      <c r="H306" s="8">
        <v>0</v>
      </c>
      <c r="I306" s="8">
        <v>1099.64</v>
      </c>
      <c r="J306" s="8">
        <v>0</v>
      </c>
      <c r="K306" s="8">
        <v>1449.53</v>
      </c>
      <c r="L306" s="8">
        <v>0</v>
      </c>
      <c r="M306" s="8">
        <v>77.197</v>
      </c>
      <c r="N306" s="23"/>
      <c r="O306" s="23"/>
      <c r="P306" s="152"/>
      <c r="Q306" s="152"/>
      <c r="R306" s="152"/>
      <c r="S306" s="153"/>
      <c r="T306" s="152"/>
      <c r="U306" s="8"/>
      <c r="V306" s="8"/>
      <c r="W306" s="8"/>
    </row>
    <row r="307" spans="1:23" s="1" customFormat="1" ht="15.75" customHeight="1">
      <c r="A307" s="8"/>
      <c r="B307" s="8" t="s">
        <v>866</v>
      </c>
      <c r="C307" s="8"/>
      <c r="D307" s="8"/>
      <c r="E307" s="8"/>
      <c r="F307" s="8"/>
      <c r="G307" s="8"/>
      <c r="H307" s="8"/>
      <c r="I307" s="8"/>
      <c r="J307" s="8">
        <v>0</v>
      </c>
      <c r="K307" s="8">
        <v>2094.19</v>
      </c>
      <c r="L307" s="8">
        <v>0</v>
      </c>
      <c r="M307" s="8">
        <v>2072.611</v>
      </c>
      <c r="N307" s="23"/>
      <c r="O307" s="23"/>
      <c r="P307" s="152"/>
      <c r="Q307" s="152"/>
      <c r="R307" s="152"/>
      <c r="S307" s="153"/>
      <c r="T307" s="152"/>
      <c r="U307" s="8"/>
      <c r="V307" s="8"/>
      <c r="W307" s="8"/>
    </row>
    <row r="308" spans="1:23" s="1" customFormat="1" ht="15.75" customHeight="1">
      <c r="A308" s="8"/>
      <c r="B308" s="8" t="s">
        <v>870</v>
      </c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23"/>
      <c r="O308" s="23"/>
      <c r="P308" s="152"/>
      <c r="Q308" s="152"/>
      <c r="R308" s="152"/>
      <c r="S308" s="153"/>
      <c r="T308" s="152"/>
      <c r="U308" s="8"/>
      <c r="V308" s="8"/>
      <c r="W308" s="8"/>
    </row>
    <row r="309" spans="1:23" s="1" customFormat="1" ht="15.75" customHeight="1">
      <c r="A309" s="14" t="s">
        <v>877</v>
      </c>
      <c r="B309" s="13" t="s">
        <v>878</v>
      </c>
      <c r="C309" s="8"/>
      <c r="D309" s="13"/>
      <c r="E309" s="8">
        <v>527.149</v>
      </c>
      <c r="F309" s="13"/>
      <c r="G309" s="8"/>
      <c r="H309" s="13"/>
      <c r="I309" s="13"/>
      <c r="J309" s="8">
        <v>0</v>
      </c>
      <c r="K309" s="3">
        <v>524.876</v>
      </c>
      <c r="L309" s="8">
        <v>0</v>
      </c>
      <c r="M309" s="3">
        <v>2.273</v>
      </c>
      <c r="N309" s="23">
        <v>527.149</v>
      </c>
      <c r="O309" s="23"/>
      <c r="P309" s="152"/>
      <c r="Q309" s="152"/>
      <c r="R309" s="152"/>
      <c r="S309" s="153"/>
      <c r="T309" s="152"/>
      <c r="U309" s="8"/>
      <c r="V309" s="8"/>
      <c r="W309" s="8" t="s">
        <v>576</v>
      </c>
    </row>
    <row r="310" spans="1:23" s="1" customFormat="1" ht="15.75" customHeight="1">
      <c r="A310" s="14"/>
      <c r="B310" s="13" t="s">
        <v>864</v>
      </c>
      <c r="C310" s="8"/>
      <c r="D310" s="13"/>
      <c r="E310" s="13"/>
      <c r="F310" s="13"/>
      <c r="G310" s="8"/>
      <c r="H310" s="13"/>
      <c r="I310" s="13"/>
      <c r="J310" s="8"/>
      <c r="K310" s="8"/>
      <c r="L310" s="8"/>
      <c r="M310" s="8"/>
      <c r="N310" s="23"/>
      <c r="O310" s="23"/>
      <c r="P310" s="152"/>
      <c r="Q310" s="152"/>
      <c r="R310" s="152"/>
      <c r="S310" s="153"/>
      <c r="T310" s="152"/>
      <c r="U310" s="8"/>
      <c r="V310" s="8"/>
      <c r="W310" s="8"/>
    </row>
    <row r="311" spans="1:23" s="1" customFormat="1" ht="15.75" customHeight="1">
      <c r="A311" s="8"/>
      <c r="B311" s="8" t="s">
        <v>865</v>
      </c>
      <c r="C311" s="8"/>
      <c r="D311" s="13"/>
      <c r="E311" s="13"/>
      <c r="F311" s="13"/>
      <c r="G311" s="8"/>
      <c r="H311" s="13"/>
      <c r="I311" s="13"/>
      <c r="J311" s="8">
        <v>0</v>
      </c>
      <c r="K311" s="8">
        <v>0</v>
      </c>
      <c r="L311" s="8">
        <v>0</v>
      </c>
      <c r="M311" s="8">
        <v>2.273</v>
      </c>
      <c r="N311" s="23"/>
      <c r="O311" s="23"/>
      <c r="P311" s="152"/>
      <c r="Q311" s="152"/>
      <c r="R311" s="152"/>
      <c r="S311" s="153"/>
      <c r="T311" s="152"/>
      <c r="U311" s="8"/>
      <c r="V311" s="8"/>
      <c r="W311" s="8"/>
    </row>
    <row r="312" spans="1:23" s="1" customFormat="1" ht="15.75" customHeight="1">
      <c r="A312" s="8"/>
      <c r="B312" s="8" t="s">
        <v>866</v>
      </c>
      <c r="C312" s="8"/>
      <c r="D312" s="13"/>
      <c r="E312" s="13"/>
      <c r="F312" s="13"/>
      <c r="G312" s="8"/>
      <c r="H312" s="13"/>
      <c r="I312" s="13"/>
      <c r="J312" s="8">
        <v>0</v>
      </c>
      <c r="K312" s="8">
        <v>524.876</v>
      </c>
      <c r="L312" s="8"/>
      <c r="M312" s="8"/>
      <c r="N312" s="23"/>
      <c r="O312" s="23"/>
      <c r="P312" s="152"/>
      <c r="Q312" s="152"/>
      <c r="R312" s="152"/>
      <c r="S312" s="153"/>
      <c r="T312" s="152"/>
      <c r="U312" s="8"/>
      <c r="V312" s="8"/>
      <c r="W312" s="8"/>
    </row>
    <row r="313" spans="1:23" s="1" customFormat="1" ht="15.75" customHeight="1">
      <c r="A313" s="8"/>
      <c r="B313" s="8" t="s">
        <v>870</v>
      </c>
      <c r="C313" s="8"/>
      <c r="D313" s="13"/>
      <c r="E313" s="13"/>
      <c r="F313" s="13"/>
      <c r="G313" s="8"/>
      <c r="H313" s="13"/>
      <c r="I313" s="13"/>
      <c r="J313" s="8"/>
      <c r="K313" s="8"/>
      <c r="L313" s="8"/>
      <c r="M313" s="8"/>
      <c r="N313" s="23"/>
      <c r="O313" s="23"/>
      <c r="P313" s="152"/>
      <c r="Q313" s="152"/>
      <c r="R313" s="152"/>
      <c r="S313" s="153"/>
      <c r="T313" s="152"/>
      <c r="U313" s="8"/>
      <c r="V313" s="8"/>
      <c r="W313" s="8"/>
    </row>
    <row r="314" spans="1:23" s="1" customFormat="1" ht="15.75" customHeight="1">
      <c r="A314" s="14" t="s">
        <v>879</v>
      </c>
      <c r="B314" s="13" t="s">
        <v>880</v>
      </c>
      <c r="C314" s="8"/>
      <c r="D314" s="13"/>
      <c r="E314" s="23">
        <v>3753.14</v>
      </c>
      <c r="F314" s="13"/>
      <c r="G314" s="8"/>
      <c r="H314" s="13"/>
      <c r="I314" s="13"/>
      <c r="J314" s="8">
        <v>0</v>
      </c>
      <c r="K314" s="3">
        <v>2670.22</v>
      </c>
      <c r="L314" s="8">
        <v>0</v>
      </c>
      <c r="M314" s="3">
        <v>1082.92</v>
      </c>
      <c r="N314" s="23">
        <v>3753.14</v>
      </c>
      <c r="O314" s="32"/>
      <c r="P314" s="152"/>
      <c r="Q314" s="152"/>
      <c r="R314" s="152"/>
      <c r="S314" s="153"/>
      <c r="T314" s="152"/>
      <c r="U314" s="8"/>
      <c r="V314" s="8"/>
      <c r="W314" s="8" t="s">
        <v>576</v>
      </c>
    </row>
    <row r="315" spans="1:23" s="1" customFormat="1" ht="15.75" customHeight="1">
      <c r="A315" s="8"/>
      <c r="B315" s="13" t="s">
        <v>864</v>
      </c>
      <c r="C315" s="8"/>
      <c r="D315" s="13"/>
      <c r="E315" s="8"/>
      <c r="F315" s="13"/>
      <c r="G315" s="8"/>
      <c r="H315" s="13"/>
      <c r="I315" s="13"/>
      <c r="J315" s="8"/>
      <c r="K315" s="8"/>
      <c r="L315" s="8"/>
      <c r="M315" s="8"/>
      <c r="N315" s="23"/>
      <c r="O315" s="23"/>
      <c r="P315" s="152"/>
      <c r="Q315" s="152"/>
      <c r="R315" s="152"/>
      <c r="S315" s="153"/>
      <c r="T315" s="152"/>
      <c r="U315" s="8"/>
      <c r="V315" s="8"/>
      <c r="W315" s="8"/>
    </row>
    <row r="316" spans="1:23" s="1" customFormat="1" ht="15.75" customHeight="1">
      <c r="A316" s="8"/>
      <c r="B316" s="8" t="s">
        <v>865</v>
      </c>
      <c r="C316" s="8"/>
      <c r="D316" s="13"/>
      <c r="E316" s="8"/>
      <c r="F316" s="13"/>
      <c r="G316" s="8"/>
      <c r="H316" s="13"/>
      <c r="I316" s="13"/>
      <c r="J316" s="8">
        <v>0</v>
      </c>
      <c r="K316" s="8">
        <v>2670.22</v>
      </c>
      <c r="L316" s="8">
        <v>0</v>
      </c>
      <c r="M316" s="8">
        <v>433.193</v>
      </c>
      <c r="N316" s="23"/>
      <c r="O316" s="23"/>
      <c r="P316" s="152"/>
      <c r="Q316" s="152"/>
      <c r="R316" s="152"/>
      <c r="S316" s="153"/>
      <c r="T316" s="152"/>
      <c r="U316" s="8"/>
      <c r="V316" s="8"/>
      <c r="W316" s="8"/>
    </row>
    <row r="317" spans="1:23" s="1" customFormat="1" ht="15.75" customHeight="1">
      <c r="A317" s="8"/>
      <c r="B317" s="8" t="s">
        <v>866</v>
      </c>
      <c r="C317" s="8"/>
      <c r="D317" s="13"/>
      <c r="E317" s="8"/>
      <c r="F317" s="13"/>
      <c r="G317" s="8"/>
      <c r="H317" s="13"/>
      <c r="I317" s="13"/>
      <c r="J317" s="8">
        <v>0</v>
      </c>
      <c r="K317" s="8">
        <v>0</v>
      </c>
      <c r="L317" s="8">
        <v>0</v>
      </c>
      <c r="M317" s="8">
        <v>649.726</v>
      </c>
      <c r="N317" s="23"/>
      <c r="O317" s="23"/>
      <c r="P317" s="152"/>
      <c r="Q317" s="152"/>
      <c r="R317" s="152"/>
      <c r="S317" s="153"/>
      <c r="T317" s="152"/>
      <c r="U317" s="8"/>
      <c r="V317" s="8"/>
      <c r="W317" s="8"/>
    </row>
    <row r="318" spans="1:23" s="1" customFormat="1" ht="15.75" customHeight="1">
      <c r="A318" s="8"/>
      <c r="B318" s="8" t="s">
        <v>870</v>
      </c>
      <c r="C318" s="8"/>
      <c r="D318" s="13"/>
      <c r="E318" s="8"/>
      <c r="F318" s="13"/>
      <c r="G318" s="8"/>
      <c r="H318" s="13"/>
      <c r="I318" s="13"/>
      <c r="J318" s="8"/>
      <c r="K318" s="8"/>
      <c r="L318" s="8"/>
      <c r="M318" s="8"/>
      <c r="N318" s="23"/>
      <c r="O318" s="23"/>
      <c r="P318" s="152"/>
      <c r="Q318" s="152"/>
      <c r="R318" s="152"/>
      <c r="S318" s="153"/>
      <c r="T318" s="152"/>
      <c r="U318" s="8"/>
      <c r="V318" s="8"/>
      <c r="W318" s="8"/>
    </row>
    <row r="319" spans="1:23" s="1" customFormat="1" ht="31.5" customHeight="1">
      <c r="A319" s="14" t="s">
        <v>881</v>
      </c>
      <c r="B319" s="13" t="s">
        <v>882</v>
      </c>
      <c r="C319" s="8"/>
      <c r="D319" s="13"/>
      <c r="E319" s="8">
        <v>4116.518</v>
      </c>
      <c r="F319" s="13"/>
      <c r="G319" s="8"/>
      <c r="H319" s="13"/>
      <c r="I319" s="13"/>
      <c r="J319" s="8">
        <v>0</v>
      </c>
      <c r="K319" s="3">
        <v>458.62</v>
      </c>
      <c r="L319" s="8">
        <v>0</v>
      </c>
      <c r="M319" s="3">
        <v>3657.898</v>
      </c>
      <c r="N319" s="23">
        <v>4116.518</v>
      </c>
      <c r="O319" s="32"/>
      <c r="P319" s="152"/>
      <c r="Q319" s="152"/>
      <c r="R319" s="152"/>
      <c r="S319" s="153"/>
      <c r="T319" s="152"/>
      <c r="U319" s="8"/>
      <c r="V319" s="8"/>
      <c r="W319" s="8" t="s">
        <v>579</v>
      </c>
    </row>
    <row r="320" spans="1:23" s="1" customFormat="1" ht="15.75" customHeight="1">
      <c r="A320" s="8"/>
      <c r="B320" s="13" t="s">
        <v>864</v>
      </c>
      <c r="C320" s="13"/>
      <c r="D320" s="13"/>
      <c r="E320" s="8"/>
      <c r="F320" s="13"/>
      <c r="G320" s="8"/>
      <c r="H320" s="13"/>
      <c r="I320" s="13"/>
      <c r="J320" s="8"/>
      <c r="K320" s="8"/>
      <c r="L320" s="8"/>
      <c r="M320" s="8"/>
      <c r="N320" s="23"/>
      <c r="O320" s="23"/>
      <c r="P320" s="152"/>
      <c r="Q320" s="152"/>
      <c r="R320" s="152"/>
      <c r="S320" s="153"/>
      <c r="T320" s="152"/>
      <c r="U320" s="8"/>
      <c r="V320" s="8"/>
      <c r="W320" s="8"/>
    </row>
    <row r="321" spans="1:23" s="1" customFormat="1" ht="15.75" customHeight="1">
      <c r="A321" s="8"/>
      <c r="B321" s="8" t="s">
        <v>865</v>
      </c>
      <c r="C321" s="13"/>
      <c r="D321" s="13"/>
      <c r="E321" s="8"/>
      <c r="F321" s="13"/>
      <c r="G321" s="8"/>
      <c r="H321" s="13"/>
      <c r="I321" s="13"/>
      <c r="J321" s="8">
        <v>0</v>
      </c>
      <c r="K321" s="8">
        <v>458.62</v>
      </c>
      <c r="L321" s="8">
        <v>0</v>
      </c>
      <c r="M321" s="8">
        <v>2050.476</v>
      </c>
      <c r="N321" s="23"/>
      <c r="O321" s="23"/>
      <c r="P321" s="152"/>
      <c r="Q321" s="152"/>
      <c r="R321" s="152"/>
      <c r="S321" s="153"/>
      <c r="T321" s="152"/>
      <c r="U321" s="8"/>
      <c r="V321" s="8"/>
      <c r="W321" s="8"/>
    </row>
    <row r="322" spans="1:23" s="1" customFormat="1" ht="15.75" customHeight="1">
      <c r="A322" s="8"/>
      <c r="B322" s="8" t="s">
        <v>866</v>
      </c>
      <c r="C322" s="13"/>
      <c r="D322" s="13"/>
      <c r="E322" s="8"/>
      <c r="F322" s="13"/>
      <c r="G322" s="8"/>
      <c r="H322" s="13"/>
      <c r="I322" s="13"/>
      <c r="J322" s="8">
        <v>0</v>
      </c>
      <c r="K322" s="8">
        <v>0</v>
      </c>
      <c r="L322" s="8">
        <v>0</v>
      </c>
      <c r="M322" s="8">
        <v>1607.422</v>
      </c>
      <c r="N322" s="23"/>
      <c r="O322" s="23"/>
      <c r="P322" s="152"/>
      <c r="Q322" s="152"/>
      <c r="R322" s="152"/>
      <c r="S322" s="153"/>
      <c r="T322" s="152"/>
      <c r="U322" s="8"/>
      <c r="V322" s="8"/>
      <c r="W322" s="8"/>
    </row>
    <row r="323" spans="1:23" s="1" customFormat="1" ht="15.75" customHeight="1">
      <c r="A323" s="8"/>
      <c r="B323" s="8" t="s">
        <v>870</v>
      </c>
      <c r="C323" s="13"/>
      <c r="D323" s="13"/>
      <c r="E323" s="8"/>
      <c r="F323" s="13"/>
      <c r="G323" s="8"/>
      <c r="H323" s="13"/>
      <c r="I323" s="13"/>
      <c r="J323" s="8"/>
      <c r="K323" s="8"/>
      <c r="L323" s="8"/>
      <c r="M323" s="8"/>
      <c r="N323" s="23"/>
      <c r="O323" s="23"/>
      <c r="P323" s="152"/>
      <c r="Q323" s="152"/>
      <c r="R323" s="152"/>
      <c r="S323" s="153"/>
      <c r="T323" s="152"/>
      <c r="U323" s="8"/>
      <c r="V323" s="8"/>
      <c r="W323" s="8"/>
    </row>
    <row r="324" spans="1:23" s="1" customFormat="1" ht="31.5" customHeight="1">
      <c r="A324" s="14" t="s">
        <v>883</v>
      </c>
      <c r="B324" s="13" t="s">
        <v>884</v>
      </c>
      <c r="C324" s="8"/>
      <c r="D324" s="13"/>
      <c r="E324" s="8">
        <v>1033.682</v>
      </c>
      <c r="F324" s="13"/>
      <c r="G324" s="8"/>
      <c r="H324" s="13"/>
      <c r="I324" s="13"/>
      <c r="J324" s="8">
        <v>0</v>
      </c>
      <c r="K324" s="3">
        <v>1.3</v>
      </c>
      <c r="L324" s="8">
        <v>0</v>
      </c>
      <c r="M324" s="3">
        <v>1032.382</v>
      </c>
      <c r="N324" s="23">
        <v>1033.682</v>
      </c>
      <c r="O324" s="23"/>
      <c r="P324" s="152"/>
      <c r="Q324" s="152"/>
      <c r="R324" s="152"/>
      <c r="S324" s="153"/>
      <c r="T324" s="152"/>
      <c r="U324" s="8"/>
      <c r="V324" s="8"/>
      <c r="W324" s="8" t="s">
        <v>579</v>
      </c>
    </row>
    <row r="325" spans="1:23" s="1" customFormat="1" ht="15.75" customHeight="1">
      <c r="A325" s="8"/>
      <c r="B325" s="8" t="s">
        <v>865</v>
      </c>
      <c r="C325" s="13"/>
      <c r="D325" s="13"/>
      <c r="E325" s="8"/>
      <c r="F325" s="13"/>
      <c r="G325" s="8"/>
      <c r="H325" s="13"/>
      <c r="I325" s="13"/>
      <c r="J325" s="8">
        <v>0</v>
      </c>
      <c r="K325" s="8">
        <v>1.3</v>
      </c>
      <c r="L325" s="8">
        <v>0</v>
      </c>
      <c r="M325" s="8">
        <v>0</v>
      </c>
      <c r="N325" s="23"/>
      <c r="O325" s="23"/>
      <c r="P325" s="152"/>
      <c r="Q325" s="152"/>
      <c r="R325" s="152"/>
      <c r="S325" s="153"/>
      <c r="T325" s="152"/>
      <c r="U325" s="8"/>
      <c r="V325" s="8"/>
      <c r="W325" s="8"/>
    </row>
    <row r="326" spans="1:23" s="1" customFormat="1" ht="15.75" customHeight="1">
      <c r="A326" s="8"/>
      <c r="B326" s="8" t="s">
        <v>866</v>
      </c>
      <c r="C326" s="13"/>
      <c r="D326" s="13"/>
      <c r="E326" s="8"/>
      <c r="F326" s="13"/>
      <c r="G326" s="8"/>
      <c r="H326" s="13"/>
      <c r="I326" s="13"/>
      <c r="J326" s="8"/>
      <c r="K326" s="8"/>
      <c r="L326" s="8">
        <v>0</v>
      </c>
      <c r="M326" s="8">
        <v>1032.382</v>
      </c>
      <c r="N326" s="23"/>
      <c r="O326" s="23"/>
      <c r="P326" s="152"/>
      <c r="Q326" s="152"/>
      <c r="R326" s="152"/>
      <c r="S326" s="153"/>
      <c r="T326" s="152"/>
      <c r="U326" s="8"/>
      <c r="V326" s="8"/>
      <c r="W326" s="8"/>
    </row>
    <row r="327" spans="1:23" s="1" customFormat="1" ht="18.75" customHeight="1">
      <c r="A327" s="8"/>
      <c r="B327" s="8" t="s">
        <v>870</v>
      </c>
      <c r="C327" s="13"/>
      <c r="D327" s="13"/>
      <c r="E327" s="8"/>
      <c r="F327" s="13"/>
      <c r="G327" s="8"/>
      <c r="H327" s="13"/>
      <c r="I327" s="13"/>
      <c r="J327" s="8"/>
      <c r="K327" s="8"/>
      <c r="L327" s="8"/>
      <c r="M327" s="8"/>
      <c r="N327" s="23"/>
      <c r="O327" s="23"/>
      <c r="P327" s="152"/>
      <c r="Q327" s="152"/>
      <c r="R327" s="152"/>
      <c r="S327" s="153"/>
      <c r="T327" s="152"/>
      <c r="U327" s="8"/>
      <c r="V327" s="8"/>
      <c r="W327" s="8"/>
    </row>
    <row r="328" spans="1:23" s="1" customFormat="1" ht="30.75" customHeight="1">
      <c r="A328" s="14" t="s">
        <v>885</v>
      </c>
      <c r="B328" s="13" t="s">
        <v>886</v>
      </c>
      <c r="C328" s="13"/>
      <c r="D328" s="13"/>
      <c r="E328" s="23">
        <v>5330.72</v>
      </c>
      <c r="F328" s="13"/>
      <c r="G328" s="8"/>
      <c r="H328" s="13"/>
      <c r="I328" s="13"/>
      <c r="J328" s="8"/>
      <c r="K328" s="8"/>
      <c r="L328" s="8">
        <v>0</v>
      </c>
      <c r="M328" s="3">
        <v>5330.72</v>
      </c>
      <c r="N328" s="23">
        <v>5330.72</v>
      </c>
      <c r="O328" s="23"/>
      <c r="P328" s="152"/>
      <c r="Q328" s="152"/>
      <c r="R328" s="152"/>
      <c r="S328" s="153"/>
      <c r="T328" s="152"/>
      <c r="U328" s="8"/>
      <c r="V328" s="8"/>
      <c r="W328" s="8" t="s">
        <v>579</v>
      </c>
    </row>
    <row r="329" spans="1:23" s="1" customFormat="1" ht="18.75" customHeight="1">
      <c r="A329" s="8"/>
      <c r="B329" s="13" t="s">
        <v>864</v>
      </c>
      <c r="C329" s="13"/>
      <c r="D329" s="13"/>
      <c r="E329" s="8"/>
      <c r="F329" s="13"/>
      <c r="G329" s="8"/>
      <c r="H329" s="13"/>
      <c r="I329" s="13"/>
      <c r="J329" s="8"/>
      <c r="K329" s="8"/>
      <c r="L329" s="8"/>
      <c r="M329" s="8"/>
      <c r="N329" s="23"/>
      <c r="O329" s="23"/>
      <c r="P329" s="152"/>
      <c r="Q329" s="152"/>
      <c r="R329" s="152"/>
      <c r="S329" s="153"/>
      <c r="T329" s="152"/>
      <c r="U329" s="8"/>
      <c r="V329" s="8"/>
      <c r="W329" s="8"/>
    </row>
    <row r="330" spans="1:23" s="1" customFormat="1" ht="18.75" customHeight="1">
      <c r="A330" s="8"/>
      <c r="B330" s="8" t="s">
        <v>865</v>
      </c>
      <c r="C330" s="13"/>
      <c r="D330" s="13"/>
      <c r="E330" s="8"/>
      <c r="F330" s="13"/>
      <c r="G330" s="8"/>
      <c r="H330" s="13"/>
      <c r="I330" s="13"/>
      <c r="J330" s="8"/>
      <c r="K330" s="8"/>
      <c r="L330" s="8">
        <v>0</v>
      </c>
      <c r="M330" s="8">
        <v>3134.501</v>
      </c>
      <c r="N330" s="23"/>
      <c r="O330" s="23"/>
      <c r="P330" s="152"/>
      <c r="Q330" s="152"/>
      <c r="R330" s="152"/>
      <c r="S330" s="153"/>
      <c r="T330" s="152"/>
      <c r="U330" s="8"/>
      <c r="V330" s="8"/>
      <c r="W330" s="8"/>
    </row>
    <row r="331" spans="1:23" s="1" customFormat="1" ht="18.75" customHeight="1">
      <c r="A331" s="8"/>
      <c r="B331" s="8" t="s">
        <v>866</v>
      </c>
      <c r="C331" s="13"/>
      <c r="D331" s="13"/>
      <c r="E331" s="8"/>
      <c r="F331" s="13"/>
      <c r="G331" s="8"/>
      <c r="H331" s="13"/>
      <c r="I331" s="13"/>
      <c r="J331" s="8"/>
      <c r="K331" s="8"/>
      <c r="L331" s="8">
        <v>0</v>
      </c>
      <c r="M331" s="8">
        <v>2196.221</v>
      </c>
      <c r="N331" s="23"/>
      <c r="O331" s="23"/>
      <c r="P331" s="152"/>
      <c r="Q331" s="152"/>
      <c r="R331" s="152"/>
      <c r="S331" s="153"/>
      <c r="T331" s="152"/>
      <c r="U331" s="8"/>
      <c r="V331" s="8"/>
      <c r="W331" s="8"/>
    </row>
    <row r="332" spans="1:23" s="1" customFormat="1" ht="18.75" customHeight="1">
      <c r="A332" s="8"/>
      <c r="B332" s="8" t="s">
        <v>870</v>
      </c>
      <c r="C332" s="13"/>
      <c r="D332" s="13"/>
      <c r="E332" s="8"/>
      <c r="F332" s="13"/>
      <c r="G332" s="8"/>
      <c r="H332" s="13"/>
      <c r="I332" s="13"/>
      <c r="J332" s="8"/>
      <c r="K332" s="8"/>
      <c r="L332" s="8"/>
      <c r="M332" s="8"/>
      <c r="N332" s="23"/>
      <c r="O332" s="23"/>
      <c r="P332" s="152"/>
      <c r="Q332" s="152"/>
      <c r="R332" s="152"/>
      <c r="S332" s="153"/>
      <c r="T332" s="152"/>
      <c r="U332" s="8"/>
      <c r="V332" s="8"/>
      <c r="W332" s="8"/>
    </row>
    <row r="333" spans="1:23" s="1" customFormat="1" ht="30.75" customHeight="1">
      <c r="A333" s="14" t="s">
        <v>887</v>
      </c>
      <c r="B333" s="13" t="s">
        <v>888</v>
      </c>
      <c r="C333" s="13"/>
      <c r="D333" s="13"/>
      <c r="E333" s="8">
        <v>6130.986</v>
      </c>
      <c r="F333" s="13"/>
      <c r="G333" s="8"/>
      <c r="H333" s="13"/>
      <c r="I333" s="13"/>
      <c r="J333" s="8"/>
      <c r="K333" s="8"/>
      <c r="L333" s="8">
        <v>0</v>
      </c>
      <c r="M333" s="3">
        <v>6130.986</v>
      </c>
      <c r="N333" s="23">
        <v>6130.986</v>
      </c>
      <c r="O333" s="23"/>
      <c r="P333" s="152"/>
      <c r="Q333" s="152"/>
      <c r="R333" s="152"/>
      <c r="S333" s="153"/>
      <c r="T333" s="152"/>
      <c r="U333" s="8"/>
      <c r="V333" s="8"/>
      <c r="W333" s="8" t="s">
        <v>579</v>
      </c>
    </row>
    <row r="334" spans="1:23" s="1" customFormat="1" ht="18.75" customHeight="1">
      <c r="A334" s="8"/>
      <c r="B334" s="13" t="s">
        <v>864</v>
      </c>
      <c r="C334" s="13"/>
      <c r="D334" s="13"/>
      <c r="E334" s="8"/>
      <c r="F334" s="13"/>
      <c r="G334" s="8"/>
      <c r="H334" s="13"/>
      <c r="I334" s="13"/>
      <c r="J334" s="8"/>
      <c r="K334" s="8"/>
      <c r="L334" s="8"/>
      <c r="M334" s="8"/>
      <c r="N334" s="23"/>
      <c r="O334" s="23"/>
      <c r="P334" s="152"/>
      <c r="Q334" s="152"/>
      <c r="R334" s="152"/>
      <c r="S334" s="153"/>
      <c r="T334" s="152"/>
      <c r="U334" s="8"/>
      <c r="V334" s="8"/>
      <c r="W334" s="8"/>
    </row>
    <row r="335" spans="1:23" s="1" customFormat="1" ht="18.75" customHeight="1">
      <c r="A335" s="8"/>
      <c r="B335" s="8" t="s">
        <v>865</v>
      </c>
      <c r="C335" s="13"/>
      <c r="D335" s="13"/>
      <c r="E335" s="8"/>
      <c r="F335" s="13"/>
      <c r="G335" s="8"/>
      <c r="H335" s="13"/>
      <c r="I335" s="13"/>
      <c r="J335" s="8"/>
      <c r="K335" s="8"/>
      <c r="L335" s="8">
        <v>0</v>
      </c>
      <c r="M335" s="8">
        <v>3033.33</v>
      </c>
      <c r="N335" s="23"/>
      <c r="O335" s="23"/>
      <c r="P335" s="152"/>
      <c r="Q335" s="152"/>
      <c r="R335" s="152"/>
      <c r="S335" s="153"/>
      <c r="T335" s="152"/>
      <c r="U335" s="8"/>
      <c r="V335" s="8"/>
      <c r="W335" s="8"/>
    </row>
    <row r="336" spans="1:23" s="1" customFormat="1" ht="18.75" customHeight="1">
      <c r="A336" s="8"/>
      <c r="B336" s="8" t="s">
        <v>866</v>
      </c>
      <c r="C336" s="13"/>
      <c r="D336" s="13"/>
      <c r="E336" s="8"/>
      <c r="F336" s="13"/>
      <c r="G336" s="8"/>
      <c r="H336" s="13"/>
      <c r="I336" s="13"/>
      <c r="J336" s="8"/>
      <c r="K336" s="8"/>
      <c r="L336" s="8">
        <v>0</v>
      </c>
      <c r="M336" s="8">
        <v>3097.656</v>
      </c>
      <c r="N336" s="23"/>
      <c r="O336" s="23"/>
      <c r="P336" s="152"/>
      <c r="Q336" s="152"/>
      <c r="R336" s="152"/>
      <c r="S336" s="153"/>
      <c r="T336" s="152"/>
      <c r="U336" s="8"/>
      <c r="V336" s="8"/>
      <c r="W336" s="8"/>
    </row>
    <row r="337" spans="1:23" s="1" customFormat="1" ht="18.75" customHeight="1">
      <c r="A337" s="8"/>
      <c r="B337" s="8" t="s">
        <v>870</v>
      </c>
      <c r="C337" s="13"/>
      <c r="D337" s="13"/>
      <c r="E337" s="8"/>
      <c r="F337" s="13"/>
      <c r="G337" s="8"/>
      <c r="H337" s="13"/>
      <c r="I337" s="13"/>
      <c r="J337" s="8"/>
      <c r="K337" s="8"/>
      <c r="L337" s="8"/>
      <c r="M337" s="8"/>
      <c r="N337" s="23"/>
      <c r="O337" s="23"/>
      <c r="P337" s="152"/>
      <c r="Q337" s="152"/>
      <c r="R337" s="152"/>
      <c r="S337" s="153"/>
      <c r="T337" s="152"/>
      <c r="U337" s="8"/>
      <c r="V337" s="8"/>
      <c r="W337" s="8"/>
    </row>
    <row r="338" spans="1:23" s="1" customFormat="1" ht="30.75" customHeight="1">
      <c r="A338" s="14" t="s">
        <v>889</v>
      </c>
      <c r="B338" s="13" t="s">
        <v>890</v>
      </c>
      <c r="C338" s="13"/>
      <c r="D338" s="13"/>
      <c r="E338" s="8">
        <v>138.985</v>
      </c>
      <c r="F338" s="13"/>
      <c r="G338" s="8"/>
      <c r="H338" s="13"/>
      <c r="I338" s="13"/>
      <c r="J338" s="8"/>
      <c r="K338" s="8"/>
      <c r="L338" s="8">
        <v>0</v>
      </c>
      <c r="M338" s="3">
        <v>138.985</v>
      </c>
      <c r="N338" s="23">
        <v>138.985</v>
      </c>
      <c r="O338" s="23"/>
      <c r="P338" s="152"/>
      <c r="Q338" s="152"/>
      <c r="R338" s="152"/>
      <c r="S338" s="153"/>
      <c r="T338" s="152"/>
      <c r="U338" s="8"/>
      <c r="V338" s="8"/>
      <c r="W338" s="8" t="s">
        <v>579</v>
      </c>
    </row>
    <row r="339" spans="1:23" s="1" customFormat="1" ht="18.75" customHeight="1">
      <c r="A339" s="8"/>
      <c r="B339" s="13" t="s">
        <v>864</v>
      </c>
      <c r="C339" s="13"/>
      <c r="D339" s="13"/>
      <c r="E339" s="8"/>
      <c r="F339" s="13"/>
      <c r="G339" s="8"/>
      <c r="H339" s="13"/>
      <c r="I339" s="13"/>
      <c r="J339" s="8"/>
      <c r="K339" s="8"/>
      <c r="L339" s="8"/>
      <c r="M339" s="3"/>
      <c r="N339" s="23"/>
      <c r="O339" s="23"/>
      <c r="P339" s="152"/>
      <c r="Q339" s="152"/>
      <c r="R339" s="152"/>
      <c r="S339" s="153"/>
      <c r="T339" s="152"/>
      <c r="U339" s="8"/>
      <c r="V339" s="8"/>
      <c r="W339" s="8"/>
    </row>
    <row r="340" spans="1:23" s="1" customFormat="1" ht="18.75" customHeight="1">
      <c r="A340" s="8"/>
      <c r="B340" s="8" t="s">
        <v>865</v>
      </c>
      <c r="C340" s="13"/>
      <c r="D340" s="13"/>
      <c r="E340" s="8"/>
      <c r="F340" s="13"/>
      <c r="G340" s="8"/>
      <c r="H340" s="13"/>
      <c r="I340" s="13"/>
      <c r="J340" s="8"/>
      <c r="K340" s="8"/>
      <c r="L340" s="8">
        <v>0</v>
      </c>
      <c r="M340" s="8">
        <v>0</v>
      </c>
      <c r="N340" s="23"/>
      <c r="O340" s="23"/>
      <c r="P340" s="152"/>
      <c r="Q340" s="152"/>
      <c r="R340" s="152"/>
      <c r="S340" s="153"/>
      <c r="T340" s="152"/>
      <c r="U340" s="8"/>
      <c r="V340" s="8"/>
      <c r="W340" s="8"/>
    </row>
    <row r="341" spans="1:23" s="1" customFormat="1" ht="18.75" customHeight="1">
      <c r="A341" s="8"/>
      <c r="B341" s="8" t="s">
        <v>866</v>
      </c>
      <c r="C341" s="13"/>
      <c r="D341" s="13"/>
      <c r="E341" s="8"/>
      <c r="F341" s="13"/>
      <c r="G341" s="8"/>
      <c r="H341" s="13"/>
      <c r="I341" s="13"/>
      <c r="J341" s="8"/>
      <c r="K341" s="8"/>
      <c r="L341" s="8">
        <v>0</v>
      </c>
      <c r="M341" s="8">
        <v>138.985</v>
      </c>
      <c r="N341" s="23"/>
      <c r="O341" s="23"/>
      <c r="P341" s="152"/>
      <c r="Q341" s="152"/>
      <c r="R341" s="152"/>
      <c r="S341" s="153"/>
      <c r="T341" s="152"/>
      <c r="U341" s="8"/>
      <c r="V341" s="8"/>
      <c r="W341" s="8"/>
    </row>
    <row r="342" spans="1:23" s="1" customFormat="1" ht="18.75" customHeight="1">
      <c r="A342" s="8"/>
      <c r="B342" s="8" t="s">
        <v>870</v>
      </c>
      <c r="C342" s="13"/>
      <c r="D342" s="13"/>
      <c r="E342" s="8"/>
      <c r="F342" s="13"/>
      <c r="G342" s="8"/>
      <c r="H342" s="13"/>
      <c r="I342" s="13"/>
      <c r="J342" s="8"/>
      <c r="K342" s="8"/>
      <c r="L342" s="8"/>
      <c r="M342" s="8"/>
      <c r="N342" s="23"/>
      <c r="O342" s="23"/>
      <c r="P342" s="152"/>
      <c r="Q342" s="152"/>
      <c r="R342" s="152"/>
      <c r="S342" s="153"/>
      <c r="T342" s="152"/>
      <c r="U342" s="8"/>
      <c r="V342" s="8"/>
      <c r="W342" s="8"/>
    </row>
    <row r="343" spans="1:23" s="1" customFormat="1" ht="15.75" customHeight="1">
      <c r="A343" s="8"/>
      <c r="B343" s="8"/>
      <c r="C343" s="13"/>
      <c r="D343" s="13"/>
      <c r="E343" s="8"/>
      <c r="F343" s="13"/>
      <c r="G343" s="8"/>
      <c r="H343" s="13"/>
      <c r="I343" s="13"/>
      <c r="J343" s="8"/>
      <c r="K343" s="8"/>
      <c r="L343" s="8"/>
      <c r="M343" s="8"/>
      <c r="N343" s="23"/>
      <c r="O343" s="23"/>
      <c r="P343" s="152"/>
      <c r="Q343" s="152"/>
      <c r="R343" s="152"/>
      <c r="S343" s="153"/>
      <c r="T343" s="152"/>
      <c r="U343" s="8"/>
      <c r="V343" s="8"/>
      <c r="W343" s="8"/>
    </row>
    <row r="345" spans="4:18" ht="20.25" customHeight="1">
      <c r="D345" s="280" t="s">
        <v>891</v>
      </c>
      <c r="R345" s="280" t="s">
        <v>892</v>
      </c>
    </row>
    <row r="346" ht="20.25" customHeight="1">
      <c r="D346" s="280"/>
    </row>
    <row r="347" ht="20.25" customHeight="1">
      <c r="D347" s="280"/>
    </row>
    <row r="348" ht="20.25" customHeight="1">
      <c r="D348" s="280"/>
    </row>
    <row r="349" spans="1:96" s="280" customFormat="1" ht="20.25" customHeight="1">
      <c r="A349" s="1"/>
      <c r="B349" s="1"/>
      <c r="C349" s="1"/>
      <c r="D349" s="280" t="s">
        <v>893</v>
      </c>
      <c r="K349" s="1"/>
      <c r="M349" s="1"/>
      <c r="N349" s="133"/>
      <c r="O349" s="133"/>
      <c r="P349" s="133"/>
      <c r="Q349" s="133"/>
      <c r="R349" s="280" t="s">
        <v>894</v>
      </c>
      <c r="S349" s="1"/>
      <c r="T349" s="1"/>
      <c r="U349" s="1"/>
      <c r="X349" s="281"/>
      <c r="Y349" s="281"/>
      <c r="Z349" s="281"/>
      <c r="AA349" s="281"/>
      <c r="AB349" s="281"/>
      <c r="AC349" s="281"/>
      <c r="AD349" s="281"/>
      <c r="AE349" s="281"/>
      <c r="AF349" s="281"/>
      <c r="AG349" s="281"/>
      <c r="AH349" s="281"/>
      <c r="AI349" s="281"/>
      <c r="AJ349" s="281"/>
      <c r="AK349" s="281"/>
      <c r="AL349" s="281"/>
      <c r="AM349" s="281"/>
      <c r="AN349" s="281"/>
      <c r="AO349" s="281"/>
      <c r="AP349" s="281"/>
      <c r="AQ349" s="281"/>
      <c r="AR349" s="281"/>
      <c r="AS349" s="281"/>
      <c r="AT349" s="281"/>
      <c r="AU349" s="281"/>
      <c r="AV349" s="281"/>
      <c r="AW349" s="281"/>
      <c r="AX349" s="281"/>
      <c r="AY349" s="281"/>
      <c r="AZ349" s="281"/>
      <c r="BA349" s="281"/>
      <c r="BB349" s="281"/>
      <c r="BC349" s="281"/>
      <c r="BD349" s="281"/>
      <c r="BE349" s="281"/>
      <c r="BF349" s="281"/>
      <c r="BG349" s="281"/>
      <c r="BH349" s="281"/>
      <c r="BI349" s="281"/>
      <c r="BJ349" s="281"/>
      <c r="BK349" s="281"/>
      <c r="BL349" s="281"/>
      <c r="BM349" s="281"/>
      <c r="BN349" s="281"/>
      <c r="BO349" s="281"/>
      <c r="BP349" s="281"/>
      <c r="BQ349" s="281"/>
      <c r="BR349" s="281"/>
      <c r="BS349" s="281"/>
      <c r="BT349" s="281"/>
      <c r="BU349" s="281"/>
      <c r="BV349" s="281"/>
      <c r="BW349" s="281"/>
      <c r="BX349" s="281"/>
      <c r="BY349" s="281"/>
      <c r="BZ349" s="281"/>
      <c r="CA349" s="281"/>
      <c r="CB349" s="281"/>
      <c r="CC349" s="281"/>
      <c r="CD349" s="281"/>
      <c r="CE349" s="281"/>
      <c r="CF349" s="281"/>
      <c r="CG349" s="281"/>
      <c r="CH349" s="281"/>
      <c r="CI349" s="281"/>
      <c r="CJ349" s="281"/>
      <c r="CK349" s="281"/>
      <c r="CL349" s="281"/>
      <c r="CM349" s="281"/>
      <c r="CN349" s="281"/>
      <c r="CO349" s="281"/>
      <c r="CP349" s="281"/>
      <c r="CQ349" s="281"/>
      <c r="CR349" s="281"/>
    </row>
  </sheetData>
  <sheetProtection selectLockedCells="1" selectUnlockedCells="1"/>
  <mergeCells count="18">
    <mergeCell ref="A1:W1"/>
    <mergeCell ref="A10:A12"/>
    <mergeCell ref="B10:B12"/>
    <mergeCell ref="C10:C12"/>
    <mergeCell ref="D10:M10"/>
    <mergeCell ref="N10:O11"/>
    <mergeCell ref="P10:Q11"/>
    <mergeCell ref="R10:R12"/>
    <mergeCell ref="S10:V10"/>
    <mergeCell ref="W10:W12"/>
    <mergeCell ref="D11:E11"/>
    <mergeCell ref="F11:G11"/>
    <mergeCell ref="H11:I11"/>
    <mergeCell ref="J11:K11"/>
    <mergeCell ref="L11:M11"/>
    <mergeCell ref="S11:S12"/>
    <mergeCell ref="T11:T12"/>
    <mergeCell ref="U11:V11"/>
  </mergeCells>
  <printOptions/>
  <pageMargins left="0.425" right="0.425" top="0.7201388888888889" bottom="0.39791666666666664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18"/>
  <sheetViews>
    <sheetView zoomScale="63" zoomScaleNormal="63" zoomScaleSheetLayoutView="59" workbookViewId="0" topLeftCell="A10">
      <selection activeCell="A10" sqref="A10"/>
    </sheetView>
  </sheetViews>
  <sheetFormatPr defaultColWidth="9.00390625" defaultRowHeight="15.75"/>
  <cols>
    <col min="1" max="1" width="9.875" style="1" customWidth="1"/>
    <col min="2" max="2" width="36.875" style="1" customWidth="1"/>
    <col min="3" max="4" width="9.875" style="1" customWidth="1"/>
    <col min="5" max="5" width="9.125" style="1" customWidth="1"/>
    <col min="6" max="6" width="10.50390625" style="1" customWidth="1"/>
    <col min="7" max="7" width="7.50390625" style="1" customWidth="1"/>
    <col min="8" max="8" width="10.00390625" style="1" customWidth="1"/>
    <col min="9" max="9" width="9.25390625" style="1" customWidth="1"/>
    <col min="10" max="10" width="10.75390625" style="1" customWidth="1"/>
    <col min="11" max="11" width="10.375" style="1" customWidth="1"/>
    <col min="12" max="12" width="11.375" style="1" customWidth="1"/>
    <col min="13" max="13" width="8.375" style="1" customWidth="1"/>
    <col min="14" max="14" width="6.50390625" style="1" customWidth="1"/>
    <col min="15" max="15" width="11.625" style="1" customWidth="1"/>
    <col min="16" max="16" width="6.50390625" style="1" customWidth="1"/>
    <col min="17" max="17" width="6.875" style="1" customWidth="1"/>
    <col min="18" max="18" width="10.75390625" style="1" customWidth="1"/>
    <col min="19" max="19" width="9.25390625" style="1" customWidth="1"/>
    <col min="20" max="20" width="11.625" style="1" customWidth="1"/>
    <col min="21" max="21" width="10.375" style="1" customWidth="1"/>
    <col min="22" max="22" width="7.75390625" style="1" customWidth="1"/>
    <col min="23" max="23" width="10.125" style="1" customWidth="1"/>
    <col min="24" max="24" width="12.00390625" style="1" customWidth="1"/>
    <col min="25" max="25" width="10.25390625" style="1" customWidth="1"/>
    <col min="26" max="26" width="8.75390625" style="1" customWidth="1"/>
    <col min="27" max="27" width="7.75390625" style="1" customWidth="1"/>
    <col min="28" max="28" width="9.125" style="1" customWidth="1"/>
    <col min="29" max="29" width="9.875" style="1" customWidth="1"/>
    <col min="30" max="30" width="7.75390625" style="1" customWidth="1"/>
    <col min="31" max="31" width="9.375" style="1" customWidth="1"/>
    <col min="32" max="32" width="9.00390625" style="1" customWidth="1"/>
    <col min="33" max="33" width="7.25390625" style="1" customWidth="1"/>
    <col min="34" max="34" width="9.25390625" style="1" customWidth="1"/>
    <col min="35" max="35" width="8.125" style="1" customWidth="1"/>
    <col min="36" max="36" width="10.25390625" style="1" customWidth="1"/>
    <col min="37" max="16384" width="9.00390625" style="1" customWidth="1"/>
  </cols>
  <sheetData>
    <row r="1" ht="12.75">
      <c r="AI1" s="282"/>
    </row>
    <row r="3" spans="1:36" ht="51.75" customHeight="1">
      <c r="A3" s="136" t="s">
        <v>895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</row>
    <row r="4" spans="14:96" ht="42" customHeight="1">
      <c r="N4" s="133"/>
      <c r="O4" s="133"/>
      <c r="P4" s="133"/>
      <c r="Q4" s="133"/>
      <c r="U4" s="138"/>
      <c r="V4" s="138"/>
      <c r="W4" s="138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</row>
    <row r="5" spans="33:36" ht="12.75">
      <c r="AG5" s="137"/>
      <c r="AH5" s="137"/>
      <c r="AI5" s="137"/>
      <c r="AJ5" s="138" t="s">
        <v>489</v>
      </c>
    </row>
    <row r="6" spans="33:36" ht="12.75">
      <c r="AG6" s="137"/>
      <c r="AH6" s="137"/>
      <c r="AI6" s="137"/>
      <c r="AJ6" s="138" t="s">
        <v>546</v>
      </c>
    </row>
    <row r="7" spans="33:36" ht="12.75">
      <c r="AG7" s="137"/>
      <c r="AH7" s="137"/>
      <c r="AI7" s="137"/>
      <c r="AJ7" s="138" t="s">
        <v>491</v>
      </c>
    </row>
    <row r="8" spans="33:36" ht="12.75">
      <c r="AG8" s="137"/>
      <c r="AH8" s="137"/>
      <c r="AI8" s="137"/>
      <c r="AJ8" s="138" t="s">
        <v>492</v>
      </c>
    </row>
    <row r="9" spans="33:36" ht="12.75">
      <c r="AG9" s="137"/>
      <c r="AH9" s="137"/>
      <c r="AI9" s="137"/>
      <c r="AJ9" s="138" t="s">
        <v>493</v>
      </c>
    </row>
    <row r="10" spans="33:36" ht="12.75">
      <c r="AG10" s="137"/>
      <c r="AH10" s="137"/>
      <c r="AI10" s="137"/>
      <c r="AJ10" s="138" t="s">
        <v>494</v>
      </c>
    </row>
    <row r="11" spans="33:36" ht="12.75">
      <c r="AG11" s="137"/>
      <c r="AH11" s="137"/>
      <c r="AI11" s="137"/>
      <c r="AJ11" s="138" t="s">
        <v>495</v>
      </c>
    </row>
    <row r="12" ht="48.75" customHeight="1">
      <c r="AJ12" s="138"/>
    </row>
    <row r="13" spans="1:36" ht="22.5" customHeight="1">
      <c r="A13" s="3" t="s">
        <v>1</v>
      </c>
      <c r="B13" s="3" t="s">
        <v>2</v>
      </c>
      <c r="C13" s="3" t="s">
        <v>896</v>
      </c>
      <c r="D13" s="3"/>
      <c r="E13" s="3"/>
      <c r="F13" s="3"/>
      <c r="G13" s="3"/>
      <c r="H13" s="3" t="s">
        <v>897</v>
      </c>
      <c r="I13" s="3"/>
      <c r="J13" s="3"/>
      <c r="K13" s="3"/>
      <c r="L13" s="3"/>
      <c r="M13" s="3" t="s">
        <v>898</v>
      </c>
      <c r="N13" s="3"/>
      <c r="O13" s="3"/>
      <c r="P13" s="3"/>
      <c r="Q13" s="3"/>
      <c r="R13" s="3" t="s">
        <v>899</v>
      </c>
      <c r="S13" s="3"/>
      <c r="T13" s="3"/>
      <c r="U13" s="3"/>
      <c r="V13" s="3"/>
      <c r="W13" s="4" t="s">
        <v>5</v>
      </c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27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 t="s">
        <v>6</v>
      </c>
      <c r="X14" s="3"/>
      <c r="Y14" s="3"/>
      <c r="Z14" s="3"/>
      <c r="AA14" s="4" t="s">
        <v>7</v>
      </c>
      <c r="AB14" s="4"/>
      <c r="AC14" s="4"/>
      <c r="AD14" s="4"/>
      <c r="AE14" s="4" t="s">
        <v>8</v>
      </c>
      <c r="AF14" s="4"/>
      <c r="AG14" s="4"/>
      <c r="AH14" s="4"/>
      <c r="AI14" s="4"/>
      <c r="AJ14" s="3" t="s">
        <v>10</v>
      </c>
    </row>
    <row r="15" spans="1:36" ht="79.5" customHeight="1">
      <c r="A15" s="3"/>
      <c r="B15" s="3" t="s">
        <v>11</v>
      </c>
      <c r="C15" s="8" t="s">
        <v>22</v>
      </c>
      <c r="D15" s="8" t="s">
        <v>23</v>
      </c>
      <c r="E15" s="8" t="s">
        <v>24</v>
      </c>
      <c r="F15" s="8" t="s">
        <v>25</v>
      </c>
      <c r="G15" s="8" t="s">
        <v>26</v>
      </c>
      <c r="H15" s="8" t="s">
        <v>22</v>
      </c>
      <c r="I15" s="8" t="s">
        <v>23</v>
      </c>
      <c r="J15" s="8" t="s">
        <v>24</v>
      </c>
      <c r="K15" s="8" t="s">
        <v>25</v>
      </c>
      <c r="L15" s="8" t="s">
        <v>26</v>
      </c>
      <c r="M15" s="8" t="s">
        <v>22</v>
      </c>
      <c r="N15" s="8" t="s">
        <v>23</v>
      </c>
      <c r="O15" s="8" t="s">
        <v>24</v>
      </c>
      <c r="P15" s="8" t="s">
        <v>25</v>
      </c>
      <c r="Q15" s="8" t="s">
        <v>26</v>
      </c>
      <c r="R15" s="8" t="s">
        <v>22</v>
      </c>
      <c r="S15" s="8" t="s">
        <v>23</v>
      </c>
      <c r="T15" s="8" t="s">
        <v>24</v>
      </c>
      <c r="U15" s="8" t="s">
        <v>25</v>
      </c>
      <c r="V15" s="8" t="s">
        <v>26</v>
      </c>
      <c r="W15" s="5" t="s">
        <v>12</v>
      </c>
      <c r="X15" s="7" t="s">
        <v>27</v>
      </c>
      <c r="Y15" s="8" t="s">
        <v>14</v>
      </c>
      <c r="Z15" s="8" t="s">
        <v>28</v>
      </c>
      <c r="AA15" s="8" t="s">
        <v>12</v>
      </c>
      <c r="AB15" s="283" t="s">
        <v>13</v>
      </c>
      <c r="AC15" s="283" t="s">
        <v>16</v>
      </c>
      <c r="AD15" s="283" t="s">
        <v>17</v>
      </c>
      <c r="AE15" s="8" t="s">
        <v>18</v>
      </c>
      <c r="AF15" s="283" t="s">
        <v>13</v>
      </c>
      <c r="AG15" s="284" t="s">
        <v>19</v>
      </c>
      <c r="AH15" s="284" t="s">
        <v>20</v>
      </c>
      <c r="AI15" s="283" t="s">
        <v>21</v>
      </c>
      <c r="AJ15" s="3"/>
    </row>
    <row r="16" spans="1:36" ht="12.75">
      <c r="A16" s="3"/>
      <c r="B16" s="3" t="s">
        <v>570</v>
      </c>
      <c r="C16" s="113">
        <f aca="true" t="shared" si="0" ref="C16:L16">C84+C96+C115+C212+C215+C231+C20+C275</f>
        <v>48469.685</v>
      </c>
      <c r="D16" s="165">
        <f t="shared" si="0"/>
        <v>2727.792</v>
      </c>
      <c r="E16" s="165">
        <f t="shared" si="0"/>
        <v>10210.094000000001</v>
      </c>
      <c r="F16" s="165">
        <f t="shared" si="0"/>
        <v>33141.439</v>
      </c>
      <c r="G16" s="165">
        <f t="shared" si="0"/>
        <v>0</v>
      </c>
      <c r="H16" s="165">
        <f t="shared" si="0"/>
        <v>109848.99564000001</v>
      </c>
      <c r="I16" s="165">
        <f t="shared" si="0"/>
        <v>2811.70964</v>
      </c>
      <c r="J16" s="165">
        <f t="shared" si="0"/>
        <v>25601.128000000004</v>
      </c>
      <c r="K16" s="165">
        <f t="shared" si="0"/>
        <v>80568.47199999998</v>
      </c>
      <c r="L16" s="165">
        <f t="shared" si="0"/>
        <v>0</v>
      </c>
      <c r="M16" s="24"/>
      <c r="N16" s="24"/>
      <c r="O16" s="24"/>
      <c r="P16" s="24"/>
      <c r="Q16" s="24"/>
      <c r="R16" s="165">
        <f>R84+R96+R115+R212+R215+R231+R20+R275</f>
        <v>109848.99564000001</v>
      </c>
      <c r="S16" s="165">
        <f>S84+S96+S115+S212+S215+S231+S20+S275</f>
        <v>2811.70964</v>
      </c>
      <c r="T16" s="165">
        <f>T84+T96+T115+T212+T215+T231+T20+T275</f>
        <v>25601.128000000004</v>
      </c>
      <c r="U16" s="165">
        <f>U84+U96+U115+U212+U215+U231+U20+U275</f>
        <v>80568.47199999998</v>
      </c>
      <c r="V16" s="165">
        <f>V84+V96+V115+V212+V215+V231+V20+V275</f>
        <v>0</v>
      </c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36" ht="12.75">
      <c r="A17" s="3"/>
      <c r="B17" s="3" t="s">
        <v>571</v>
      </c>
      <c r="C17" s="165">
        <f aca="true" t="shared" si="1" ref="C17:L17">C20+C282</f>
        <v>0</v>
      </c>
      <c r="D17" s="165">
        <f t="shared" si="1"/>
        <v>0</v>
      </c>
      <c r="E17" s="165">
        <f t="shared" si="1"/>
        <v>0</v>
      </c>
      <c r="F17" s="165">
        <f t="shared" si="1"/>
        <v>0</v>
      </c>
      <c r="G17" s="165">
        <f t="shared" si="1"/>
        <v>0</v>
      </c>
      <c r="H17" s="113">
        <f t="shared" si="1"/>
        <v>60368.12500000001</v>
      </c>
      <c r="I17" s="165">
        <f t="shared" si="1"/>
        <v>365.17299999999994</v>
      </c>
      <c r="J17" s="165">
        <f t="shared" si="1"/>
        <v>16480.487999999998</v>
      </c>
      <c r="K17" s="165">
        <f t="shared" si="1"/>
        <v>43522.463999999985</v>
      </c>
      <c r="L17" s="165">
        <f t="shared" si="1"/>
        <v>0</v>
      </c>
      <c r="M17" s="24"/>
      <c r="N17" s="24"/>
      <c r="O17" s="24"/>
      <c r="P17" s="24"/>
      <c r="Q17" s="24"/>
      <c r="R17" s="113">
        <f>R20+R282</f>
        <v>60368.12500000001</v>
      </c>
      <c r="S17" s="165">
        <f>S20+S282</f>
        <v>365.17299999999994</v>
      </c>
      <c r="T17" s="165">
        <f>T20+T282</f>
        <v>16480.487999999998</v>
      </c>
      <c r="U17" s="165">
        <f>U20+U282</f>
        <v>43522.463999999985</v>
      </c>
      <c r="V17" s="165">
        <f>V20+V282</f>
        <v>0</v>
      </c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85"/>
    </row>
    <row r="18" spans="1:36" ht="12.75">
      <c r="A18" s="3"/>
      <c r="B18" s="3" t="s">
        <v>572</v>
      </c>
      <c r="C18" s="113">
        <f aca="true" t="shared" si="2" ref="C18:L18">C16-C17</f>
        <v>48469.685</v>
      </c>
      <c r="D18" s="165">
        <f t="shared" si="2"/>
        <v>2727.792</v>
      </c>
      <c r="E18" s="165">
        <f t="shared" si="2"/>
        <v>10210.094000000001</v>
      </c>
      <c r="F18" s="165">
        <f t="shared" si="2"/>
        <v>33141.439</v>
      </c>
      <c r="G18" s="165">
        <f t="shared" si="2"/>
        <v>0</v>
      </c>
      <c r="H18" s="113">
        <f t="shared" si="2"/>
        <v>49480.87064</v>
      </c>
      <c r="I18" s="165">
        <f t="shared" si="2"/>
        <v>2446.5366400000003</v>
      </c>
      <c r="J18" s="165">
        <f t="shared" si="2"/>
        <v>9120.640000000007</v>
      </c>
      <c r="K18" s="165">
        <f t="shared" si="2"/>
        <v>37046.007999999994</v>
      </c>
      <c r="L18" s="165">
        <f t="shared" si="2"/>
        <v>0</v>
      </c>
      <c r="M18" s="24"/>
      <c r="N18" s="24"/>
      <c r="O18" s="24"/>
      <c r="P18" s="24"/>
      <c r="Q18" s="24"/>
      <c r="R18" s="165">
        <f>R16-R17</f>
        <v>49480.87064</v>
      </c>
      <c r="S18" s="165">
        <f>S16-S17</f>
        <v>2446.5366400000003</v>
      </c>
      <c r="T18" s="165">
        <f>T16-T17</f>
        <v>9120.640000000007</v>
      </c>
      <c r="U18" s="165">
        <f>U16-U17</f>
        <v>37046.007999999994</v>
      </c>
      <c r="V18" s="165">
        <f>V16-V17</f>
        <v>0</v>
      </c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85"/>
    </row>
    <row r="19" spans="1:36" ht="12.75">
      <c r="A19" s="3" t="s">
        <v>573</v>
      </c>
      <c r="B19" s="3" t="s">
        <v>29</v>
      </c>
      <c r="C19" s="3"/>
      <c r="D19" s="3"/>
      <c r="E19" s="3"/>
      <c r="F19" s="3"/>
      <c r="G19" s="3"/>
      <c r="H19" s="286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10"/>
      <c r="AF19" s="10"/>
      <c r="AG19" s="10"/>
      <c r="AH19" s="10"/>
      <c r="AI19" s="10"/>
      <c r="AJ19" s="10"/>
    </row>
    <row r="20" spans="1:74" s="151" customFormat="1" ht="12.75">
      <c r="A20" s="145" t="s">
        <v>31</v>
      </c>
      <c r="B20" s="146" t="s">
        <v>32</v>
      </c>
      <c r="C20" s="146">
        <f>SUM(C21:C25)</f>
        <v>0</v>
      </c>
      <c r="D20" s="146">
        <f>SUM(D21:D25)</f>
        <v>0</v>
      </c>
      <c r="E20" s="146">
        <f>SUM(E21:E25)</f>
        <v>0</v>
      </c>
      <c r="F20" s="146">
        <f>SUM(F21:F25)</f>
        <v>0</v>
      </c>
      <c r="G20" s="146">
        <f>SUM(G21:G25)</f>
        <v>0</v>
      </c>
      <c r="H20" s="146">
        <f>SUM(H21:H83)</f>
        <v>6783.83</v>
      </c>
      <c r="I20" s="146">
        <f>SUM(I21:I83)</f>
        <v>33.853</v>
      </c>
      <c r="J20" s="146">
        <f>SUM(J21:J83)</f>
        <v>1504.774999999999</v>
      </c>
      <c r="K20" s="146">
        <f>SUM(K21:K83)</f>
        <v>5245.201999999998</v>
      </c>
      <c r="L20" s="146">
        <f aca="true" t="shared" si="3" ref="L20:Q20">SUM(L21:L44)</f>
        <v>0</v>
      </c>
      <c r="M20" s="146">
        <f t="shared" si="3"/>
        <v>0</v>
      </c>
      <c r="N20" s="146">
        <f t="shared" si="3"/>
        <v>0</v>
      </c>
      <c r="O20" s="146">
        <f t="shared" si="3"/>
        <v>0</v>
      </c>
      <c r="P20" s="146">
        <f t="shared" si="3"/>
        <v>0</v>
      </c>
      <c r="Q20" s="146">
        <f t="shared" si="3"/>
        <v>0</v>
      </c>
      <c r="R20" s="146">
        <f>SUM(R21:R83)</f>
        <v>6783.83</v>
      </c>
      <c r="S20" s="146">
        <f>SUM(S21:S83)</f>
        <v>33.853</v>
      </c>
      <c r="T20" s="146">
        <f>SUM(T21:T83)</f>
        <v>1504.774999999999</v>
      </c>
      <c r="U20" s="146">
        <f>SUM(U21:U83)</f>
        <v>5245.201999999998</v>
      </c>
      <c r="V20" s="146">
        <f>SUM(V21:V44)</f>
        <v>0</v>
      </c>
      <c r="W20" s="168"/>
      <c r="X20" s="168"/>
      <c r="Y20" s="168"/>
      <c r="Z20" s="168"/>
      <c r="AA20" s="168"/>
      <c r="AB20" s="168"/>
      <c r="AC20" s="168"/>
      <c r="AD20" s="146">
        <f>SUM(AD21:AD83)</f>
        <v>2.6378999999999975</v>
      </c>
      <c r="AE20" s="149"/>
      <c r="AF20" s="149"/>
      <c r="AG20" s="149"/>
      <c r="AH20" s="149"/>
      <c r="AI20" s="287">
        <v>7.619</v>
      </c>
      <c r="AJ20" s="149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36" ht="30.75" customHeight="1">
      <c r="A21" s="8">
        <v>1</v>
      </c>
      <c r="B21" s="13" t="s">
        <v>575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23">
        <f>I21+J21+K21+L21</f>
        <v>99.6</v>
      </c>
      <c r="I21" s="8">
        <v>0</v>
      </c>
      <c r="J21" s="8">
        <v>14.57</v>
      </c>
      <c r="K21" s="8">
        <v>85.03</v>
      </c>
      <c r="L21" s="8">
        <v>0</v>
      </c>
      <c r="M21" s="8"/>
      <c r="N21" s="8"/>
      <c r="O21" s="8"/>
      <c r="P21" s="8"/>
      <c r="Q21" s="8"/>
      <c r="R21" s="32">
        <f>S21+T21+U21+V21</f>
        <v>99.6</v>
      </c>
      <c r="S21" s="8">
        <v>0</v>
      </c>
      <c r="T21" s="8">
        <v>14.57</v>
      </c>
      <c r="U21" s="8">
        <v>85.03</v>
      </c>
      <c r="V21" s="8">
        <v>0</v>
      </c>
      <c r="W21" s="8"/>
      <c r="X21" s="8"/>
      <c r="Y21" s="8"/>
      <c r="Z21" s="8"/>
      <c r="AA21" s="8"/>
      <c r="AB21" s="8"/>
      <c r="AC21" s="8"/>
      <c r="AD21" s="288">
        <v>0.03</v>
      </c>
      <c r="AE21" s="289"/>
      <c r="AF21" s="289"/>
      <c r="AG21" s="289"/>
      <c r="AH21" s="289"/>
      <c r="AI21" s="289"/>
      <c r="AJ21" s="10"/>
    </row>
    <row r="22" spans="1:36" ht="33" customHeight="1">
      <c r="A22" s="8">
        <v>2</v>
      </c>
      <c r="B22" s="13" t="s">
        <v>578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23">
        <f>I22+J22+K22+L22</f>
        <v>332.90000000000003</v>
      </c>
      <c r="I22" s="8">
        <v>0</v>
      </c>
      <c r="J22" s="8">
        <v>47.36</v>
      </c>
      <c r="K22" s="8">
        <v>285.54</v>
      </c>
      <c r="L22" s="8">
        <v>0</v>
      </c>
      <c r="M22" s="8"/>
      <c r="N22" s="8"/>
      <c r="O22" s="8"/>
      <c r="P22" s="8"/>
      <c r="Q22" s="8"/>
      <c r="R22" s="32">
        <f>S22+T22+U22+V22</f>
        <v>332.90000000000003</v>
      </c>
      <c r="S22" s="8">
        <v>0</v>
      </c>
      <c r="T22" s="8">
        <v>47.36</v>
      </c>
      <c r="U22" s="8">
        <v>285.54</v>
      </c>
      <c r="V22" s="8">
        <v>0</v>
      </c>
      <c r="W22" s="8"/>
      <c r="X22" s="8"/>
      <c r="Y22" s="8"/>
      <c r="Z22" s="8"/>
      <c r="AA22" s="8"/>
      <c r="AB22" s="8"/>
      <c r="AC22" s="8"/>
      <c r="AD22" s="288">
        <v>0.687</v>
      </c>
      <c r="AE22" s="289"/>
      <c r="AF22" s="289"/>
      <c r="AG22" s="289"/>
      <c r="AH22" s="290"/>
      <c r="AI22" s="290"/>
      <c r="AJ22" s="10"/>
    </row>
    <row r="23" spans="1:36" ht="30.75" customHeight="1">
      <c r="A23" s="8">
        <v>3</v>
      </c>
      <c r="B23" s="13" t="s">
        <v>581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23">
        <f>I23+J23+K23+L23</f>
        <v>141.86</v>
      </c>
      <c r="I23" s="8">
        <v>0</v>
      </c>
      <c r="J23" s="8">
        <v>47.09</v>
      </c>
      <c r="K23" s="8">
        <v>94.77</v>
      </c>
      <c r="L23" s="8">
        <v>0</v>
      </c>
      <c r="M23" s="8"/>
      <c r="N23" s="8"/>
      <c r="O23" s="8"/>
      <c r="P23" s="8"/>
      <c r="Q23" s="8"/>
      <c r="R23" s="32">
        <f>S23+T23+U23+V23</f>
        <v>141.86</v>
      </c>
      <c r="S23" s="8">
        <v>0</v>
      </c>
      <c r="T23" s="8">
        <v>47.09</v>
      </c>
      <c r="U23" s="8">
        <v>94.77</v>
      </c>
      <c r="V23" s="8">
        <v>0</v>
      </c>
      <c r="W23" s="8"/>
      <c r="X23" s="8"/>
      <c r="Y23" s="8"/>
      <c r="Z23" s="8"/>
      <c r="AA23" s="8"/>
      <c r="AB23" s="8"/>
      <c r="AC23" s="8"/>
      <c r="AD23" s="288">
        <v>0.07</v>
      </c>
      <c r="AE23" s="290">
        <v>2011</v>
      </c>
      <c r="AF23" s="290">
        <v>30</v>
      </c>
      <c r="AG23" s="289"/>
      <c r="AH23" s="290" t="s">
        <v>59</v>
      </c>
      <c r="AI23" s="290">
        <v>0.15</v>
      </c>
      <c r="AJ23" s="10"/>
    </row>
    <row r="24" spans="1:36" ht="30.75" customHeight="1">
      <c r="A24" s="8">
        <v>4</v>
      </c>
      <c r="B24" s="13" t="s">
        <v>583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23">
        <f>I24+J24+K24+L24</f>
        <v>71.72</v>
      </c>
      <c r="I24" s="8">
        <v>0</v>
      </c>
      <c r="J24" s="8">
        <v>30.637</v>
      </c>
      <c r="K24" s="8">
        <v>41.083</v>
      </c>
      <c r="L24" s="8">
        <v>0</v>
      </c>
      <c r="M24" s="8"/>
      <c r="N24" s="8"/>
      <c r="O24" s="8"/>
      <c r="P24" s="8"/>
      <c r="Q24" s="8"/>
      <c r="R24" s="32">
        <f>S24+T24+U24+V24</f>
        <v>71.72</v>
      </c>
      <c r="S24" s="8">
        <v>0</v>
      </c>
      <c r="T24" s="8">
        <v>30.637</v>
      </c>
      <c r="U24" s="8">
        <v>41.083</v>
      </c>
      <c r="V24" s="8">
        <v>0</v>
      </c>
      <c r="W24" s="8"/>
      <c r="X24" s="8"/>
      <c r="Y24" s="8"/>
      <c r="Z24" s="8"/>
      <c r="AA24" s="8"/>
      <c r="AB24" s="8"/>
      <c r="AC24" s="8"/>
      <c r="AD24" s="288">
        <v>0.02</v>
      </c>
      <c r="AE24" s="290"/>
      <c r="AF24" s="290"/>
      <c r="AG24" s="289"/>
      <c r="AH24" s="289"/>
      <c r="AI24" s="289"/>
      <c r="AJ24" s="10"/>
    </row>
    <row r="25" spans="1:36" ht="34.5" customHeight="1">
      <c r="A25" s="8">
        <v>5</v>
      </c>
      <c r="B25" s="13" t="s">
        <v>585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23">
        <f>I25+J25+K25+L25</f>
        <v>62.475</v>
      </c>
      <c r="I25" s="8">
        <v>0</v>
      </c>
      <c r="J25" s="8">
        <v>10.115</v>
      </c>
      <c r="K25" s="8">
        <v>52.36</v>
      </c>
      <c r="L25" s="8">
        <v>0</v>
      </c>
      <c r="M25" s="8"/>
      <c r="N25" s="8"/>
      <c r="O25" s="8"/>
      <c r="P25" s="8"/>
      <c r="Q25" s="8"/>
      <c r="R25" s="8">
        <f>S25+T25+U25+V25</f>
        <v>62.475</v>
      </c>
      <c r="S25" s="8">
        <v>0</v>
      </c>
      <c r="T25" s="8">
        <v>10.115</v>
      </c>
      <c r="U25" s="8">
        <v>52.36</v>
      </c>
      <c r="V25" s="8">
        <v>0</v>
      </c>
      <c r="W25" s="8"/>
      <c r="X25" s="8"/>
      <c r="Y25" s="8"/>
      <c r="Z25" s="8"/>
      <c r="AA25" s="8"/>
      <c r="AB25" s="8"/>
      <c r="AC25" s="8"/>
      <c r="AD25" s="288">
        <v>0.01</v>
      </c>
      <c r="AE25" s="290">
        <v>2011</v>
      </c>
      <c r="AF25" s="290">
        <v>30</v>
      </c>
      <c r="AG25" s="289"/>
      <c r="AH25" s="291" t="s">
        <v>900</v>
      </c>
      <c r="AI25" s="288" t="s">
        <v>901</v>
      </c>
      <c r="AJ25" s="10"/>
    </row>
    <row r="26" spans="1:36" ht="30.75" customHeight="1">
      <c r="A26" s="8">
        <v>6</v>
      </c>
      <c r="B26" s="154" t="s">
        <v>587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23">
        <f aca="true" t="shared" si="4" ref="H26:H57">SUM(I26:L26)</f>
        <v>36.574</v>
      </c>
      <c r="I26" s="8">
        <v>0</v>
      </c>
      <c r="J26" s="8">
        <v>10.764</v>
      </c>
      <c r="K26" s="8">
        <v>25.81</v>
      </c>
      <c r="L26" s="8">
        <v>0</v>
      </c>
      <c r="M26" s="8"/>
      <c r="N26" s="8"/>
      <c r="O26" s="8"/>
      <c r="P26" s="8"/>
      <c r="Q26" s="8"/>
      <c r="R26" s="23">
        <f aca="true" t="shared" si="5" ref="R26:R57">SUM(S26:V26)</f>
        <v>36.574</v>
      </c>
      <c r="S26" s="8">
        <v>0</v>
      </c>
      <c r="T26" s="8">
        <v>10.764</v>
      </c>
      <c r="U26" s="8">
        <v>25.81</v>
      </c>
      <c r="V26" s="8">
        <v>0</v>
      </c>
      <c r="W26" s="8"/>
      <c r="X26" s="8"/>
      <c r="Y26" s="8"/>
      <c r="Z26" s="8"/>
      <c r="AA26" s="8"/>
      <c r="AB26" s="8"/>
      <c r="AC26" s="8"/>
      <c r="AD26" s="288">
        <v>0.005</v>
      </c>
      <c r="AE26" s="290">
        <v>2011</v>
      </c>
      <c r="AF26" s="290">
        <v>30</v>
      </c>
      <c r="AG26" s="8" t="s">
        <v>902</v>
      </c>
      <c r="AH26" s="284" t="s">
        <v>903</v>
      </c>
      <c r="AI26" s="288" t="s">
        <v>904</v>
      </c>
      <c r="AJ26" s="10"/>
    </row>
    <row r="27" spans="1:36" ht="33" customHeight="1">
      <c r="A27" s="8">
        <v>7</v>
      </c>
      <c r="B27" s="154" t="s">
        <v>589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23">
        <f t="shared" si="4"/>
        <v>102.56</v>
      </c>
      <c r="I27" s="8">
        <v>0</v>
      </c>
      <c r="J27" s="8">
        <v>27.63</v>
      </c>
      <c r="K27" s="8">
        <v>74.93</v>
      </c>
      <c r="L27" s="8">
        <v>0</v>
      </c>
      <c r="M27" s="8"/>
      <c r="N27" s="8"/>
      <c r="O27" s="8"/>
      <c r="P27" s="8"/>
      <c r="Q27" s="8"/>
      <c r="R27" s="32">
        <f t="shared" si="5"/>
        <v>102.56</v>
      </c>
      <c r="S27" s="8">
        <v>0</v>
      </c>
      <c r="T27" s="8">
        <v>27.63</v>
      </c>
      <c r="U27" s="8">
        <v>74.93</v>
      </c>
      <c r="V27" s="8">
        <v>0</v>
      </c>
      <c r="W27" s="8"/>
      <c r="X27" s="8"/>
      <c r="Y27" s="8"/>
      <c r="Z27" s="8"/>
      <c r="AA27" s="8"/>
      <c r="AB27" s="8"/>
      <c r="AC27" s="8"/>
      <c r="AD27" s="288">
        <v>0.011</v>
      </c>
      <c r="AE27" s="290">
        <v>2011</v>
      </c>
      <c r="AF27" s="290">
        <v>30</v>
      </c>
      <c r="AG27" s="289"/>
      <c r="AH27" s="284" t="s">
        <v>903</v>
      </c>
      <c r="AI27" s="288" t="s">
        <v>905</v>
      </c>
      <c r="AJ27" s="10"/>
    </row>
    <row r="28" spans="1:36" ht="31.5" customHeight="1">
      <c r="A28" s="8">
        <v>8</v>
      </c>
      <c r="B28" s="154" t="s">
        <v>591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23">
        <f t="shared" si="4"/>
        <v>115.88</v>
      </c>
      <c r="I28" s="8">
        <v>0</v>
      </c>
      <c r="J28" s="8">
        <v>4.86</v>
      </c>
      <c r="K28" s="8">
        <v>111.02</v>
      </c>
      <c r="L28" s="8">
        <v>0</v>
      </c>
      <c r="M28" s="8"/>
      <c r="N28" s="8"/>
      <c r="O28" s="8"/>
      <c r="P28" s="8"/>
      <c r="Q28" s="8"/>
      <c r="R28" s="32">
        <f t="shared" si="5"/>
        <v>115.88</v>
      </c>
      <c r="S28" s="8">
        <v>0</v>
      </c>
      <c r="T28" s="8">
        <v>4.86</v>
      </c>
      <c r="U28" s="8">
        <v>111.02</v>
      </c>
      <c r="V28" s="8">
        <v>0</v>
      </c>
      <c r="W28" s="8"/>
      <c r="X28" s="8"/>
      <c r="Y28" s="8"/>
      <c r="Z28" s="8"/>
      <c r="AA28" s="8"/>
      <c r="AB28" s="8"/>
      <c r="AC28" s="8"/>
      <c r="AD28" s="288">
        <v>0.09</v>
      </c>
      <c r="AE28" s="289"/>
      <c r="AF28" s="290"/>
      <c r="AG28" s="289"/>
      <c r="AH28" s="291"/>
      <c r="AI28" s="288"/>
      <c r="AJ28" s="10"/>
    </row>
    <row r="29" spans="1:36" ht="33.75" customHeight="1">
      <c r="A29" s="8">
        <v>9</v>
      </c>
      <c r="B29" s="154" t="s">
        <v>593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23">
        <f t="shared" si="4"/>
        <v>351.123</v>
      </c>
      <c r="I29" s="8">
        <v>0</v>
      </c>
      <c r="J29" s="8">
        <v>33.769</v>
      </c>
      <c r="K29" s="8">
        <v>317.354</v>
      </c>
      <c r="L29" s="8">
        <v>0</v>
      </c>
      <c r="M29" s="8"/>
      <c r="N29" s="8"/>
      <c r="O29" s="8"/>
      <c r="P29" s="8"/>
      <c r="Q29" s="8"/>
      <c r="R29" s="8">
        <f t="shared" si="5"/>
        <v>351.123</v>
      </c>
      <c r="S29" s="8">
        <v>0</v>
      </c>
      <c r="T29" s="8">
        <v>33.769</v>
      </c>
      <c r="U29" s="8">
        <v>317.354</v>
      </c>
      <c r="V29" s="8">
        <v>0</v>
      </c>
      <c r="W29" s="8"/>
      <c r="X29" s="8"/>
      <c r="Y29" s="8"/>
      <c r="Z29" s="8"/>
      <c r="AA29" s="8"/>
      <c r="AB29" s="8"/>
      <c r="AC29" s="8"/>
      <c r="AD29" s="288">
        <v>0.11</v>
      </c>
      <c r="AE29" s="289"/>
      <c r="AF29" s="290"/>
      <c r="AG29" s="289"/>
      <c r="AH29" s="291"/>
      <c r="AI29" s="288"/>
      <c r="AJ29" s="10"/>
    </row>
    <row r="30" spans="1:36" ht="33" customHeight="1">
      <c r="A30" s="8">
        <v>10</v>
      </c>
      <c r="B30" s="154" t="s">
        <v>595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23">
        <f t="shared" si="4"/>
        <v>29.062</v>
      </c>
      <c r="I30" s="8">
        <v>0</v>
      </c>
      <c r="J30" s="8">
        <v>9.52</v>
      </c>
      <c r="K30" s="8">
        <v>19.542</v>
      </c>
      <c r="L30" s="8">
        <v>0</v>
      </c>
      <c r="M30" s="8"/>
      <c r="N30" s="8"/>
      <c r="O30" s="8"/>
      <c r="P30" s="8"/>
      <c r="Q30" s="8"/>
      <c r="R30" s="8">
        <f t="shared" si="5"/>
        <v>29.062</v>
      </c>
      <c r="S30" s="8">
        <v>0</v>
      </c>
      <c r="T30" s="8">
        <v>9.52</v>
      </c>
      <c r="U30" s="8">
        <v>19.542</v>
      </c>
      <c r="V30" s="8">
        <v>0</v>
      </c>
      <c r="W30" s="8"/>
      <c r="X30" s="8"/>
      <c r="Y30" s="8"/>
      <c r="Z30" s="8"/>
      <c r="AA30" s="8"/>
      <c r="AB30" s="8"/>
      <c r="AC30" s="8"/>
      <c r="AD30" s="288">
        <v>0.01</v>
      </c>
      <c r="AE30" s="290">
        <v>2011</v>
      </c>
      <c r="AF30" s="290">
        <v>30</v>
      </c>
      <c r="AG30" s="8" t="s">
        <v>906</v>
      </c>
      <c r="AH30" s="291" t="s">
        <v>907</v>
      </c>
      <c r="AI30" s="288">
        <v>0.222</v>
      </c>
      <c r="AJ30" s="10"/>
    </row>
    <row r="31" spans="1:36" ht="30.75" customHeight="1">
      <c r="A31" s="8">
        <v>11</v>
      </c>
      <c r="B31" s="154" t="s">
        <v>597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23">
        <f t="shared" si="4"/>
        <v>22.984</v>
      </c>
      <c r="I31" s="8">
        <v>0</v>
      </c>
      <c r="J31" s="8">
        <v>9.334</v>
      </c>
      <c r="K31" s="8">
        <v>13.65</v>
      </c>
      <c r="L31" s="8">
        <v>0</v>
      </c>
      <c r="M31" s="8"/>
      <c r="N31" s="8"/>
      <c r="O31" s="8"/>
      <c r="P31" s="8"/>
      <c r="Q31" s="8"/>
      <c r="R31" s="8">
        <f t="shared" si="5"/>
        <v>22.984</v>
      </c>
      <c r="S31" s="8">
        <v>0</v>
      </c>
      <c r="T31" s="8">
        <v>9.334</v>
      </c>
      <c r="U31" s="8">
        <v>13.65</v>
      </c>
      <c r="V31" s="8">
        <v>0</v>
      </c>
      <c r="W31" s="8"/>
      <c r="X31" s="8"/>
      <c r="Y31" s="8"/>
      <c r="Z31" s="8"/>
      <c r="AA31" s="8"/>
      <c r="AB31" s="8"/>
      <c r="AC31" s="8"/>
      <c r="AD31" s="288">
        <v>0.009000000000000001</v>
      </c>
      <c r="AE31" s="290">
        <v>2011</v>
      </c>
      <c r="AF31" s="290">
        <v>30</v>
      </c>
      <c r="AG31" s="289"/>
      <c r="AH31" s="291" t="s">
        <v>907</v>
      </c>
      <c r="AI31" s="288">
        <v>0.262</v>
      </c>
      <c r="AJ31" s="10"/>
    </row>
    <row r="32" spans="1:36" ht="30.75" customHeight="1">
      <c r="A32" s="8">
        <v>12</v>
      </c>
      <c r="B32" s="154" t="s">
        <v>599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23">
        <f t="shared" si="4"/>
        <v>40.32</v>
      </c>
      <c r="I32" s="8">
        <v>0</v>
      </c>
      <c r="J32" s="8">
        <v>10.01</v>
      </c>
      <c r="K32" s="8">
        <v>30.31</v>
      </c>
      <c r="L32" s="8">
        <v>0</v>
      </c>
      <c r="M32" s="8"/>
      <c r="N32" s="8"/>
      <c r="O32" s="8"/>
      <c r="P32" s="8"/>
      <c r="Q32" s="8"/>
      <c r="R32" s="8">
        <f t="shared" si="5"/>
        <v>40.32</v>
      </c>
      <c r="S32" s="8">
        <v>0</v>
      </c>
      <c r="T32" s="8">
        <v>10.01</v>
      </c>
      <c r="U32" s="8">
        <v>30.31</v>
      </c>
      <c r="V32" s="8">
        <v>0</v>
      </c>
      <c r="W32" s="8"/>
      <c r="X32" s="8"/>
      <c r="Y32" s="8"/>
      <c r="Z32" s="8"/>
      <c r="AA32" s="8"/>
      <c r="AB32" s="8"/>
      <c r="AC32" s="8"/>
      <c r="AD32" s="288">
        <v>0.012</v>
      </c>
      <c r="AE32" s="290">
        <v>2011</v>
      </c>
      <c r="AF32" s="290">
        <v>30</v>
      </c>
      <c r="AG32" s="8" t="s">
        <v>906</v>
      </c>
      <c r="AH32" s="291" t="s">
        <v>900</v>
      </c>
      <c r="AI32" s="288" t="s">
        <v>908</v>
      </c>
      <c r="AJ32" s="10"/>
    </row>
    <row r="33" spans="1:36" ht="31.5" customHeight="1">
      <c r="A33" s="8">
        <v>13</v>
      </c>
      <c r="B33" s="154" t="s">
        <v>601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23">
        <f t="shared" si="4"/>
        <v>137.973</v>
      </c>
      <c r="I33" s="8">
        <v>0</v>
      </c>
      <c r="J33" s="8">
        <v>39.243</v>
      </c>
      <c r="K33" s="8">
        <v>98.73</v>
      </c>
      <c r="L33" s="8">
        <v>0</v>
      </c>
      <c r="M33" s="8"/>
      <c r="N33" s="8"/>
      <c r="O33" s="8"/>
      <c r="P33" s="8"/>
      <c r="Q33" s="8"/>
      <c r="R33" s="8">
        <f t="shared" si="5"/>
        <v>137.973</v>
      </c>
      <c r="S33" s="8">
        <v>0</v>
      </c>
      <c r="T33" s="8">
        <v>39.243</v>
      </c>
      <c r="U33" s="8">
        <v>98.73</v>
      </c>
      <c r="V33" s="8">
        <v>0</v>
      </c>
      <c r="W33" s="8"/>
      <c r="X33" s="8"/>
      <c r="Y33" s="8"/>
      <c r="Z33" s="8"/>
      <c r="AA33" s="8"/>
      <c r="AB33" s="8"/>
      <c r="AC33" s="8"/>
      <c r="AD33" s="288">
        <v>0.03</v>
      </c>
      <c r="AE33" s="290">
        <v>2011</v>
      </c>
      <c r="AF33" s="290">
        <v>30</v>
      </c>
      <c r="AG33" s="8" t="s">
        <v>909</v>
      </c>
      <c r="AH33" s="291" t="s">
        <v>910</v>
      </c>
      <c r="AI33" s="288">
        <v>0.27</v>
      </c>
      <c r="AJ33" s="10"/>
    </row>
    <row r="34" spans="1:36" ht="29.25" customHeight="1">
      <c r="A34" s="8">
        <v>14</v>
      </c>
      <c r="B34" s="154" t="s">
        <v>603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23">
        <f t="shared" si="4"/>
        <v>171.67000000000002</v>
      </c>
      <c r="I34" s="8">
        <v>0</v>
      </c>
      <c r="J34" s="8">
        <v>42.14</v>
      </c>
      <c r="K34" s="8">
        <v>129.53</v>
      </c>
      <c r="L34" s="8">
        <v>0</v>
      </c>
      <c r="M34" s="8"/>
      <c r="N34" s="8"/>
      <c r="O34" s="8"/>
      <c r="P34" s="8"/>
      <c r="Q34" s="8"/>
      <c r="R34" s="8">
        <f t="shared" si="5"/>
        <v>171.67000000000002</v>
      </c>
      <c r="S34" s="8">
        <v>0</v>
      </c>
      <c r="T34" s="8">
        <v>42.14</v>
      </c>
      <c r="U34" s="8">
        <v>129.53</v>
      </c>
      <c r="V34" s="8">
        <v>0</v>
      </c>
      <c r="W34" s="8"/>
      <c r="X34" s="8"/>
      <c r="Y34" s="8"/>
      <c r="Z34" s="8"/>
      <c r="AA34" s="8"/>
      <c r="AB34" s="8"/>
      <c r="AC34" s="8"/>
      <c r="AD34" s="288">
        <v>0.04</v>
      </c>
      <c r="AE34" s="290"/>
      <c r="AF34" s="290"/>
      <c r="AG34" s="8"/>
      <c r="AH34" s="292"/>
      <c r="AI34" s="293"/>
      <c r="AJ34" s="10"/>
    </row>
    <row r="35" spans="1:36" ht="27.75" customHeight="1">
      <c r="A35" s="8">
        <v>15</v>
      </c>
      <c r="B35" s="13" t="s">
        <v>606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23">
        <f t="shared" si="4"/>
        <v>27</v>
      </c>
      <c r="I35" s="8">
        <v>0</v>
      </c>
      <c r="J35" s="8">
        <v>3.14</v>
      </c>
      <c r="K35" s="8">
        <v>23.86</v>
      </c>
      <c r="L35" s="8">
        <v>0</v>
      </c>
      <c r="M35" s="8"/>
      <c r="N35" s="8"/>
      <c r="O35" s="8"/>
      <c r="P35" s="8"/>
      <c r="Q35" s="8"/>
      <c r="R35" s="32">
        <f t="shared" si="5"/>
        <v>27</v>
      </c>
      <c r="S35" s="8">
        <v>0</v>
      </c>
      <c r="T35" s="8">
        <v>3.14</v>
      </c>
      <c r="U35" s="8">
        <v>23.86</v>
      </c>
      <c r="V35" s="8">
        <v>0</v>
      </c>
      <c r="W35" s="8"/>
      <c r="X35" s="8"/>
      <c r="Y35" s="8"/>
      <c r="Z35" s="8"/>
      <c r="AA35" s="8"/>
      <c r="AB35" s="8"/>
      <c r="AC35" s="8"/>
      <c r="AD35" s="288">
        <v>0.02</v>
      </c>
      <c r="AE35" s="290">
        <v>2011</v>
      </c>
      <c r="AF35" s="290">
        <v>30</v>
      </c>
      <c r="AG35" s="8"/>
      <c r="AH35" s="291" t="s">
        <v>907</v>
      </c>
      <c r="AI35" s="288">
        <v>0.31</v>
      </c>
      <c r="AJ35" s="10"/>
    </row>
    <row r="36" spans="1:36" ht="31.5" customHeight="1">
      <c r="A36" s="8">
        <v>16</v>
      </c>
      <c r="B36" s="13" t="s">
        <v>608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23">
        <f t="shared" si="4"/>
        <v>148.945</v>
      </c>
      <c r="I36" s="8">
        <v>0</v>
      </c>
      <c r="J36" s="8">
        <v>33.44</v>
      </c>
      <c r="K36" s="8">
        <v>115.505</v>
      </c>
      <c r="L36" s="8">
        <v>0</v>
      </c>
      <c r="M36" s="8"/>
      <c r="N36" s="8"/>
      <c r="O36" s="8"/>
      <c r="P36" s="8"/>
      <c r="Q36" s="8"/>
      <c r="R36" s="8">
        <f t="shared" si="5"/>
        <v>148.945</v>
      </c>
      <c r="S36" s="8">
        <v>0</v>
      </c>
      <c r="T36" s="8">
        <v>33.44</v>
      </c>
      <c r="U36" s="8">
        <v>115.505</v>
      </c>
      <c r="V36" s="8">
        <v>0</v>
      </c>
      <c r="W36" s="8"/>
      <c r="X36" s="8"/>
      <c r="Y36" s="8"/>
      <c r="Z36" s="8"/>
      <c r="AA36" s="8"/>
      <c r="AB36" s="8"/>
      <c r="AC36" s="8"/>
      <c r="AD36" s="288">
        <v>0.014</v>
      </c>
      <c r="AE36" s="290">
        <v>2011</v>
      </c>
      <c r="AF36" s="290">
        <v>30</v>
      </c>
      <c r="AG36" s="8"/>
      <c r="AH36" s="291" t="s">
        <v>900</v>
      </c>
      <c r="AI36" s="293" t="s">
        <v>911</v>
      </c>
      <c r="AJ36" s="10"/>
    </row>
    <row r="37" spans="1:36" ht="30.75" customHeight="1">
      <c r="A37" s="8">
        <v>17</v>
      </c>
      <c r="B37" s="154" t="s">
        <v>610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23">
        <f t="shared" si="4"/>
        <v>42.6</v>
      </c>
      <c r="I37" s="8">
        <v>0</v>
      </c>
      <c r="J37" s="8">
        <v>17.78</v>
      </c>
      <c r="K37" s="8">
        <v>24.82</v>
      </c>
      <c r="L37" s="8">
        <v>0</v>
      </c>
      <c r="M37" s="8"/>
      <c r="N37" s="8"/>
      <c r="O37" s="8"/>
      <c r="P37" s="8"/>
      <c r="Q37" s="8"/>
      <c r="R37" s="8">
        <f t="shared" si="5"/>
        <v>42.6</v>
      </c>
      <c r="S37" s="8">
        <v>0</v>
      </c>
      <c r="T37" s="8">
        <v>17.78</v>
      </c>
      <c r="U37" s="8">
        <v>24.82</v>
      </c>
      <c r="V37" s="8">
        <v>0</v>
      </c>
      <c r="W37" s="8"/>
      <c r="X37" s="8"/>
      <c r="Y37" s="8"/>
      <c r="Z37" s="8"/>
      <c r="AA37" s="8"/>
      <c r="AB37" s="8"/>
      <c r="AC37" s="8"/>
      <c r="AD37" s="288">
        <v>0.01</v>
      </c>
      <c r="AE37" s="290">
        <v>2011</v>
      </c>
      <c r="AF37" s="290">
        <v>30</v>
      </c>
      <c r="AG37" s="8"/>
      <c r="AH37" s="291" t="s">
        <v>907</v>
      </c>
      <c r="AI37" s="288">
        <v>0.495</v>
      </c>
      <c r="AJ37" s="10"/>
    </row>
    <row r="38" spans="1:36" ht="30.75" customHeight="1">
      <c r="A38" s="8">
        <v>18</v>
      </c>
      <c r="B38" s="154" t="s">
        <v>612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23">
        <f t="shared" si="4"/>
        <v>39.114</v>
      </c>
      <c r="I38" s="8">
        <v>0</v>
      </c>
      <c r="J38" s="8">
        <v>14.784</v>
      </c>
      <c r="K38" s="8">
        <v>24.33</v>
      </c>
      <c r="L38" s="8">
        <v>0</v>
      </c>
      <c r="M38" s="8"/>
      <c r="N38" s="8"/>
      <c r="O38" s="8"/>
      <c r="P38" s="8"/>
      <c r="Q38" s="8"/>
      <c r="R38" s="8">
        <f t="shared" si="5"/>
        <v>39.114</v>
      </c>
      <c r="S38" s="8">
        <v>0</v>
      </c>
      <c r="T38" s="8">
        <v>14.784</v>
      </c>
      <c r="U38" s="8">
        <v>24.33</v>
      </c>
      <c r="V38" s="8">
        <v>0</v>
      </c>
      <c r="W38" s="8"/>
      <c r="X38" s="8"/>
      <c r="Y38" s="8"/>
      <c r="Z38" s="8"/>
      <c r="AA38" s="8"/>
      <c r="AB38" s="8"/>
      <c r="AC38" s="8"/>
      <c r="AD38" s="288">
        <v>0.01</v>
      </c>
      <c r="AE38" s="290">
        <v>2011</v>
      </c>
      <c r="AF38" s="290">
        <v>30</v>
      </c>
      <c r="AG38" s="8" t="s">
        <v>906</v>
      </c>
      <c r="AH38" s="291" t="s">
        <v>907</v>
      </c>
      <c r="AI38" s="288">
        <v>0.366</v>
      </c>
      <c r="AJ38" s="10"/>
    </row>
    <row r="39" spans="1:36" ht="31.5" customHeight="1">
      <c r="A39" s="8">
        <v>19</v>
      </c>
      <c r="B39" s="154" t="s">
        <v>614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23">
        <f t="shared" si="4"/>
        <v>70.72</v>
      </c>
      <c r="I39" s="8">
        <v>0</v>
      </c>
      <c r="J39" s="8">
        <v>14.323</v>
      </c>
      <c r="K39" s="8">
        <v>56.397</v>
      </c>
      <c r="L39" s="8">
        <v>0</v>
      </c>
      <c r="M39" s="8"/>
      <c r="N39" s="8"/>
      <c r="O39" s="8"/>
      <c r="P39" s="8"/>
      <c r="Q39" s="8"/>
      <c r="R39" s="32">
        <f t="shared" si="5"/>
        <v>70.72</v>
      </c>
      <c r="S39" s="8">
        <v>0</v>
      </c>
      <c r="T39" s="8">
        <v>14.323</v>
      </c>
      <c r="U39" s="8">
        <v>56.397</v>
      </c>
      <c r="V39" s="8">
        <v>0</v>
      </c>
      <c r="W39" s="8"/>
      <c r="X39" s="8"/>
      <c r="Y39" s="8"/>
      <c r="Z39" s="8"/>
      <c r="AA39" s="8"/>
      <c r="AB39" s="8"/>
      <c r="AC39" s="8"/>
      <c r="AD39" s="288">
        <v>0.022</v>
      </c>
      <c r="AE39" s="290">
        <v>2011</v>
      </c>
      <c r="AF39" s="290">
        <v>30</v>
      </c>
      <c r="AG39" s="8"/>
      <c r="AH39" s="291" t="s">
        <v>912</v>
      </c>
      <c r="AI39" s="288">
        <v>0.4</v>
      </c>
      <c r="AJ39" s="10"/>
    </row>
    <row r="40" spans="1:36" ht="29.25" customHeight="1">
      <c r="A40" s="8">
        <v>20</v>
      </c>
      <c r="B40" s="154" t="s">
        <v>616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23">
        <f t="shared" si="4"/>
        <v>176.99699999999999</v>
      </c>
      <c r="I40" s="8">
        <v>0</v>
      </c>
      <c r="J40" s="8">
        <v>23.457</v>
      </c>
      <c r="K40" s="8">
        <v>153.54</v>
      </c>
      <c r="L40" s="8">
        <v>0</v>
      </c>
      <c r="M40" s="8"/>
      <c r="N40" s="8"/>
      <c r="O40" s="8"/>
      <c r="P40" s="8"/>
      <c r="Q40" s="8"/>
      <c r="R40" s="23">
        <f t="shared" si="5"/>
        <v>176.99699999999999</v>
      </c>
      <c r="S40" s="8">
        <v>0</v>
      </c>
      <c r="T40" s="8">
        <v>23.457</v>
      </c>
      <c r="U40" s="8">
        <v>153.54</v>
      </c>
      <c r="V40" s="8">
        <v>0</v>
      </c>
      <c r="W40" s="8"/>
      <c r="X40" s="8"/>
      <c r="Y40" s="8"/>
      <c r="Z40" s="8"/>
      <c r="AA40" s="8"/>
      <c r="AB40" s="8"/>
      <c r="AC40" s="8"/>
      <c r="AD40" s="288">
        <v>0.4</v>
      </c>
      <c r="AE40" s="290"/>
      <c r="AF40" s="290"/>
      <c r="AG40" s="8"/>
      <c r="AH40" s="292"/>
      <c r="AI40" s="293"/>
      <c r="AJ40" s="10"/>
    </row>
    <row r="41" spans="1:36" ht="30.75" customHeight="1">
      <c r="A41" s="8">
        <v>21</v>
      </c>
      <c r="B41" s="13" t="s">
        <v>618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23">
        <f t="shared" si="4"/>
        <v>130.035</v>
      </c>
      <c r="I41" s="8">
        <v>0.676</v>
      </c>
      <c r="J41" s="8">
        <v>30.709</v>
      </c>
      <c r="K41" s="8">
        <v>98.65</v>
      </c>
      <c r="L41" s="8">
        <v>0</v>
      </c>
      <c r="M41" s="8"/>
      <c r="N41" s="8"/>
      <c r="O41" s="8"/>
      <c r="P41" s="8"/>
      <c r="Q41" s="8"/>
      <c r="R41" s="8">
        <f t="shared" si="5"/>
        <v>130.035</v>
      </c>
      <c r="S41" s="8">
        <v>0.676</v>
      </c>
      <c r="T41" s="8">
        <v>30.709</v>
      </c>
      <c r="U41" s="8">
        <v>98.65</v>
      </c>
      <c r="V41" s="8">
        <v>0</v>
      </c>
      <c r="W41" s="8"/>
      <c r="X41" s="8"/>
      <c r="Y41" s="8"/>
      <c r="Z41" s="8"/>
      <c r="AA41" s="8"/>
      <c r="AB41" s="8"/>
      <c r="AC41" s="8"/>
      <c r="AD41" s="288">
        <v>0.035</v>
      </c>
      <c r="AE41" s="290">
        <v>2011</v>
      </c>
      <c r="AF41" s="290">
        <v>30</v>
      </c>
      <c r="AG41" s="8"/>
      <c r="AH41" s="291" t="s">
        <v>59</v>
      </c>
      <c r="AI41" s="288">
        <v>0.09</v>
      </c>
      <c r="AJ41" s="10"/>
    </row>
    <row r="42" spans="1:36" ht="28.5" customHeight="1">
      <c r="A42" s="8">
        <v>22</v>
      </c>
      <c r="B42" s="13" t="s">
        <v>620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23">
        <f t="shared" si="4"/>
        <v>120.84</v>
      </c>
      <c r="I42" s="8">
        <v>0</v>
      </c>
      <c r="J42" s="8">
        <v>24.716</v>
      </c>
      <c r="K42" s="8">
        <v>96.124</v>
      </c>
      <c r="L42" s="8">
        <v>0</v>
      </c>
      <c r="M42" s="8"/>
      <c r="N42" s="8"/>
      <c r="O42" s="8"/>
      <c r="P42" s="8"/>
      <c r="Q42" s="8"/>
      <c r="R42" s="32">
        <f t="shared" si="5"/>
        <v>120.84</v>
      </c>
      <c r="S42" s="8">
        <v>0</v>
      </c>
      <c r="T42" s="8">
        <v>24.716</v>
      </c>
      <c r="U42" s="8">
        <v>96.124</v>
      </c>
      <c r="V42" s="8">
        <v>0</v>
      </c>
      <c r="W42" s="8"/>
      <c r="X42" s="8"/>
      <c r="Y42" s="8"/>
      <c r="Z42" s="8"/>
      <c r="AA42" s="8"/>
      <c r="AB42" s="8"/>
      <c r="AC42" s="8"/>
      <c r="AD42" s="288">
        <v>0.03</v>
      </c>
      <c r="AE42" s="290">
        <v>2011</v>
      </c>
      <c r="AF42" s="290">
        <v>30</v>
      </c>
      <c r="AG42" s="8" t="s">
        <v>913</v>
      </c>
      <c r="AH42" s="291" t="s">
        <v>912</v>
      </c>
      <c r="AI42" s="288">
        <v>0.28</v>
      </c>
      <c r="AJ42" s="10"/>
    </row>
    <row r="43" spans="1:36" ht="31.5" customHeight="1">
      <c r="A43" s="8">
        <v>23</v>
      </c>
      <c r="B43" s="13" t="s">
        <v>622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23">
        <f t="shared" si="4"/>
        <v>80.653</v>
      </c>
      <c r="I43" s="8">
        <v>0</v>
      </c>
      <c r="J43" s="8">
        <v>17.81</v>
      </c>
      <c r="K43" s="8">
        <v>62.843</v>
      </c>
      <c r="L43" s="8">
        <v>0</v>
      </c>
      <c r="M43" s="8"/>
      <c r="N43" s="8"/>
      <c r="O43" s="8"/>
      <c r="P43" s="8"/>
      <c r="Q43" s="8"/>
      <c r="R43" s="8">
        <f t="shared" si="5"/>
        <v>80.653</v>
      </c>
      <c r="S43" s="8">
        <v>0</v>
      </c>
      <c r="T43" s="8">
        <v>17.81</v>
      </c>
      <c r="U43" s="8">
        <v>62.843</v>
      </c>
      <c r="V43" s="8">
        <v>0</v>
      </c>
      <c r="W43" s="8"/>
      <c r="X43" s="8"/>
      <c r="Y43" s="8"/>
      <c r="Z43" s="8"/>
      <c r="AA43" s="8"/>
      <c r="AB43" s="8"/>
      <c r="AC43" s="8"/>
      <c r="AD43" s="288">
        <v>0.004</v>
      </c>
      <c r="AE43" s="290">
        <v>2011</v>
      </c>
      <c r="AF43" s="290">
        <v>30</v>
      </c>
      <c r="AG43" s="8" t="s">
        <v>902</v>
      </c>
      <c r="AH43" s="291" t="s">
        <v>900</v>
      </c>
      <c r="AI43" s="293" t="s">
        <v>914</v>
      </c>
      <c r="AJ43" s="10"/>
    </row>
    <row r="44" spans="1:36" ht="31.5" customHeight="1">
      <c r="A44" s="8">
        <v>24</v>
      </c>
      <c r="B44" s="13" t="s">
        <v>624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23">
        <f t="shared" si="4"/>
        <v>238.241</v>
      </c>
      <c r="I44" s="8">
        <v>30.478</v>
      </c>
      <c r="J44" s="8">
        <v>90.098</v>
      </c>
      <c r="K44" s="8">
        <v>117.665</v>
      </c>
      <c r="L44" s="8">
        <v>0</v>
      </c>
      <c r="M44" s="8"/>
      <c r="N44" s="8"/>
      <c r="O44" s="294"/>
      <c r="P44" s="8"/>
      <c r="Q44" s="8"/>
      <c r="R44" s="8">
        <f t="shared" si="5"/>
        <v>238.241</v>
      </c>
      <c r="S44" s="8">
        <v>30.478</v>
      </c>
      <c r="T44" s="8">
        <v>90.098</v>
      </c>
      <c r="U44" s="8">
        <v>117.665</v>
      </c>
      <c r="V44" s="8">
        <v>0</v>
      </c>
      <c r="W44" s="8"/>
      <c r="X44" s="8"/>
      <c r="Y44" s="8"/>
      <c r="Z44" s="8"/>
      <c r="AA44" s="8"/>
      <c r="AB44" s="8"/>
      <c r="AC44" s="8"/>
      <c r="AD44" s="288">
        <v>0.056</v>
      </c>
      <c r="AE44" s="290">
        <v>2011</v>
      </c>
      <c r="AF44" s="290">
        <v>30</v>
      </c>
      <c r="AG44" s="8"/>
      <c r="AH44" s="291" t="s">
        <v>59</v>
      </c>
      <c r="AI44" s="288">
        <v>0.14</v>
      </c>
      <c r="AJ44" s="10"/>
    </row>
    <row r="45" spans="1:36" ht="31.5" customHeight="1">
      <c r="A45" s="8">
        <v>25</v>
      </c>
      <c r="B45" s="13" t="s">
        <v>626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23">
        <f t="shared" si="4"/>
        <v>222.989</v>
      </c>
      <c r="I45" s="8">
        <v>0</v>
      </c>
      <c r="J45" s="8">
        <v>48.304</v>
      </c>
      <c r="K45" s="8">
        <v>174.685</v>
      </c>
      <c r="L45" s="8">
        <v>0</v>
      </c>
      <c r="M45" s="8"/>
      <c r="N45" s="8"/>
      <c r="O45" s="294"/>
      <c r="P45" s="8"/>
      <c r="Q45" s="8"/>
      <c r="R45" s="8">
        <f t="shared" si="5"/>
        <v>222.989</v>
      </c>
      <c r="S45" s="8">
        <v>0</v>
      </c>
      <c r="T45" s="8">
        <v>48.304</v>
      </c>
      <c r="U45" s="8">
        <v>174.685</v>
      </c>
      <c r="V45" s="8">
        <v>0</v>
      </c>
      <c r="W45" s="8"/>
      <c r="X45" s="8"/>
      <c r="Y45" s="8"/>
      <c r="Z45" s="8"/>
      <c r="AA45" s="8"/>
      <c r="AB45" s="8"/>
      <c r="AC45" s="8"/>
      <c r="AD45" s="288">
        <v>0.1</v>
      </c>
      <c r="AE45" s="290"/>
      <c r="AF45" s="290"/>
      <c r="AG45" s="8"/>
      <c r="AH45" s="291"/>
      <c r="AI45" s="293"/>
      <c r="AJ45" s="10"/>
    </row>
    <row r="46" spans="1:36" ht="31.5" customHeight="1">
      <c r="A46" s="8">
        <v>26</v>
      </c>
      <c r="B46" s="13" t="s">
        <v>628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23">
        <f t="shared" si="4"/>
        <v>160.82</v>
      </c>
      <c r="I46" s="8">
        <v>0</v>
      </c>
      <c r="J46" s="8">
        <v>56.176</v>
      </c>
      <c r="K46" s="8">
        <v>104.644</v>
      </c>
      <c r="L46" s="8">
        <v>0</v>
      </c>
      <c r="M46" s="8"/>
      <c r="N46" s="8"/>
      <c r="O46" s="294"/>
      <c r="P46" s="8"/>
      <c r="Q46" s="8"/>
      <c r="R46" s="32">
        <f t="shared" si="5"/>
        <v>160.82</v>
      </c>
      <c r="S46" s="8">
        <v>0</v>
      </c>
      <c r="T46" s="8">
        <v>56.176</v>
      </c>
      <c r="U46" s="8">
        <v>104.644</v>
      </c>
      <c r="V46" s="8">
        <v>0</v>
      </c>
      <c r="W46" s="8"/>
      <c r="X46" s="8"/>
      <c r="Y46" s="8"/>
      <c r="Z46" s="8"/>
      <c r="AA46" s="8"/>
      <c r="AB46" s="8"/>
      <c r="AC46" s="8"/>
      <c r="AD46" s="288">
        <v>0.028</v>
      </c>
      <c r="AE46" s="290"/>
      <c r="AF46" s="290"/>
      <c r="AG46" s="8"/>
      <c r="AH46" s="291"/>
      <c r="AI46" s="293"/>
      <c r="AJ46" s="10"/>
    </row>
    <row r="47" spans="1:36" ht="31.5" customHeight="1">
      <c r="A47" s="8">
        <v>27</v>
      </c>
      <c r="B47" s="13" t="s">
        <v>630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23">
        <f t="shared" si="4"/>
        <v>23.432</v>
      </c>
      <c r="I47" s="8">
        <v>0</v>
      </c>
      <c r="J47" s="8">
        <v>5.375</v>
      </c>
      <c r="K47" s="8">
        <v>18.057</v>
      </c>
      <c r="L47" s="8">
        <v>0</v>
      </c>
      <c r="M47" s="8"/>
      <c r="N47" s="8"/>
      <c r="O47" s="294"/>
      <c r="P47" s="8"/>
      <c r="Q47" s="8"/>
      <c r="R47" s="8">
        <f t="shared" si="5"/>
        <v>23.432</v>
      </c>
      <c r="S47" s="8">
        <v>0</v>
      </c>
      <c r="T47" s="8">
        <v>5.375</v>
      </c>
      <c r="U47" s="8">
        <v>18.057</v>
      </c>
      <c r="V47" s="8">
        <v>0</v>
      </c>
      <c r="W47" s="8"/>
      <c r="X47" s="8"/>
      <c r="Y47" s="8"/>
      <c r="Z47" s="8"/>
      <c r="AA47" s="8"/>
      <c r="AB47" s="8"/>
      <c r="AC47" s="8"/>
      <c r="AD47" s="288">
        <v>0.05</v>
      </c>
      <c r="AE47" s="290"/>
      <c r="AF47" s="290"/>
      <c r="AG47" s="8"/>
      <c r="AH47" s="291"/>
      <c r="AI47" s="293"/>
      <c r="AJ47" s="10"/>
    </row>
    <row r="48" spans="1:36" ht="31.5" customHeight="1">
      <c r="A48" s="8">
        <v>28</v>
      </c>
      <c r="B48" s="13" t="s">
        <v>632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23">
        <f t="shared" si="4"/>
        <v>122.28</v>
      </c>
      <c r="I48" s="8">
        <v>0</v>
      </c>
      <c r="J48" s="8">
        <v>32.05</v>
      </c>
      <c r="K48" s="8">
        <v>90.23</v>
      </c>
      <c r="L48" s="8">
        <v>0</v>
      </c>
      <c r="M48" s="8"/>
      <c r="N48" s="8"/>
      <c r="O48" s="294"/>
      <c r="P48" s="8"/>
      <c r="Q48" s="8"/>
      <c r="R48" s="8">
        <f t="shared" si="5"/>
        <v>122.28</v>
      </c>
      <c r="S48" s="8">
        <v>0</v>
      </c>
      <c r="T48" s="8">
        <v>32.05</v>
      </c>
      <c r="U48" s="8">
        <v>90.23</v>
      </c>
      <c r="V48" s="8">
        <v>0</v>
      </c>
      <c r="W48" s="8"/>
      <c r="X48" s="8"/>
      <c r="Y48" s="8"/>
      <c r="Z48" s="8"/>
      <c r="AA48" s="8"/>
      <c r="AB48" s="8"/>
      <c r="AC48" s="8"/>
      <c r="AD48" s="288">
        <v>0.01</v>
      </c>
      <c r="AE48" s="290">
        <v>2011</v>
      </c>
      <c r="AF48" s="290">
        <v>30</v>
      </c>
      <c r="AG48" s="8"/>
      <c r="AH48" s="291" t="s">
        <v>900</v>
      </c>
      <c r="AI48" s="293" t="s">
        <v>915</v>
      </c>
      <c r="AJ48" s="10"/>
    </row>
    <row r="49" spans="1:36" ht="31.5" customHeight="1">
      <c r="A49" s="8">
        <v>29</v>
      </c>
      <c r="B49" s="13" t="s">
        <v>634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23">
        <f t="shared" si="4"/>
        <v>109.604</v>
      </c>
      <c r="I49" s="8">
        <v>0</v>
      </c>
      <c r="J49" s="8">
        <v>8.724</v>
      </c>
      <c r="K49" s="8">
        <v>100.88</v>
      </c>
      <c r="L49" s="8">
        <v>0</v>
      </c>
      <c r="M49" s="8"/>
      <c r="N49" s="8"/>
      <c r="O49" s="294"/>
      <c r="P49" s="8"/>
      <c r="Q49" s="8"/>
      <c r="R49" s="8">
        <f t="shared" si="5"/>
        <v>109.604</v>
      </c>
      <c r="S49" s="8">
        <v>0</v>
      </c>
      <c r="T49" s="8">
        <v>8.724</v>
      </c>
      <c r="U49" s="8">
        <v>100.88</v>
      </c>
      <c r="V49" s="8">
        <v>0</v>
      </c>
      <c r="W49" s="8"/>
      <c r="X49" s="8"/>
      <c r="Y49" s="8"/>
      <c r="Z49" s="8"/>
      <c r="AA49" s="8"/>
      <c r="AB49" s="8"/>
      <c r="AC49" s="8"/>
      <c r="AD49" s="288">
        <v>0.015</v>
      </c>
      <c r="AE49" s="290"/>
      <c r="AF49" s="290"/>
      <c r="AG49" s="8"/>
      <c r="AH49" s="291"/>
      <c r="AI49" s="293"/>
      <c r="AJ49" s="10"/>
    </row>
    <row r="50" spans="1:36" ht="31.5" customHeight="1">
      <c r="A50" s="8">
        <v>30</v>
      </c>
      <c r="B50" s="13" t="s">
        <v>636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23">
        <f t="shared" si="4"/>
        <v>249.118</v>
      </c>
      <c r="I50" s="8">
        <v>0</v>
      </c>
      <c r="J50" s="8">
        <v>58.298</v>
      </c>
      <c r="K50" s="8">
        <v>190.82</v>
      </c>
      <c r="L50" s="8">
        <v>0</v>
      </c>
      <c r="M50" s="8"/>
      <c r="N50" s="8"/>
      <c r="O50" s="294"/>
      <c r="P50" s="8"/>
      <c r="Q50" s="8"/>
      <c r="R50" s="8">
        <f t="shared" si="5"/>
        <v>249.118</v>
      </c>
      <c r="S50" s="8">
        <v>0</v>
      </c>
      <c r="T50" s="8">
        <v>58.298</v>
      </c>
      <c r="U50" s="8">
        <v>190.82</v>
      </c>
      <c r="V50" s="8">
        <v>0</v>
      </c>
      <c r="W50" s="8"/>
      <c r="X50" s="8"/>
      <c r="Y50" s="8"/>
      <c r="Z50" s="8"/>
      <c r="AA50" s="8"/>
      <c r="AB50" s="8"/>
      <c r="AC50" s="8"/>
      <c r="AD50" s="288">
        <v>0.18</v>
      </c>
      <c r="AE50" s="290"/>
      <c r="AF50" s="290"/>
      <c r="AG50" s="8"/>
      <c r="AH50" s="291"/>
      <c r="AI50" s="293"/>
      <c r="AJ50" s="10"/>
    </row>
    <row r="51" spans="1:36" ht="31.5" customHeight="1">
      <c r="A51" s="8">
        <v>31</v>
      </c>
      <c r="B51" s="13" t="s">
        <v>638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23">
        <f t="shared" si="4"/>
        <v>119.04</v>
      </c>
      <c r="I51" s="8">
        <v>0</v>
      </c>
      <c r="J51" s="8">
        <v>47.137</v>
      </c>
      <c r="K51" s="8">
        <v>71.903</v>
      </c>
      <c r="L51" s="8">
        <v>0</v>
      </c>
      <c r="M51" s="8"/>
      <c r="N51" s="8"/>
      <c r="O51" s="294"/>
      <c r="P51" s="8"/>
      <c r="Q51" s="8"/>
      <c r="R51" s="32">
        <f t="shared" si="5"/>
        <v>119.04</v>
      </c>
      <c r="S51" s="8">
        <v>0</v>
      </c>
      <c r="T51" s="8">
        <v>47.137</v>
      </c>
      <c r="U51" s="8">
        <v>71.903</v>
      </c>
      <c r="V51" s="8">
        <v>0</v>
      </c>
      <c r="W51" s="8"/>
      <c r="X51" s="8"/>
      <c r="Y51" s="8"/>
      <c r="Z51" s="8"/>
      <c r="AA51" s="8"/>
      <c r="AB51" s="8"/>
      <c r="AC51" s="8"/>
      <c r="AD51" s="288">
        <v>0.035</v>
      </c>
      <c r="AE51" s="290">
        <v>2011</v>
      </c>
      <c r="AF51" s="290">
        <v>30</v>
      </c>
      <c r="AG51" s="8"/>
      <c r="AH51" s="291" t="s">
        <v>59</v>
      </c>
      <c r="AI51" s="288">
        <v>0.12</v>
      </c>
      <c r="AJ51" s="10"/>
    </row>
    <row r="52" spans="1:36" ht="31.5" customHeight="1">
      <c r="A52" s="8">
        <v>32</v>
      </c>
      <c r="B52" s="13" t="s">
        <v>640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23">
        <f t="shared" si="4"/>
        <v>254.12</v>
      </c>
      <c r="I52" s="8">
        <v>0</v>
      </c>
      <c r="J52" s="8">
        <v>110.924</v>
      </c>
      <c r="K52" s="8">
        <v>143.196</v>
      </c>
      <c r="L52" s="8">
        <v>0</v>
      </c>
      <c r="M52" s="8"/>
      <c r="N52" s="8"/>
      <c r="O52" s="294"/>
      <c r="P52" s="8"/>
      <c r="Q52" s="8"/>
      <c r="R52" s="32">
        <f t="shared" si="5"/>
        <v>254.12</v>
      </c>
      <c r="S52" s="8">
        <v>0</v>
      </c>
      <c r="T52" s="8">
        <v>110.924</v>
      </c>
      <c r="U52" s="8">
        <v>143.196</v>
      </c>
      <c r="V52" s="8">
        <v>0</v>
      </c>
      <c r="W52" s="8"/>
      <c r="X52" s="8"/>
      <c r="Y52" s="8"/>
      <c r="Z52" s="8"/>
      <c r="AA52" s="8"/>
      <c r="AB52" s="8"/>
      <c r="AC52" s="8"/>
      <c r="AD52" s="288">
        <v>0.045</v>
      </c>
      <c r="AE52" s="290">
        <v>2011</v>
      </c>
      <c r="AF52" s="290">
        <v>30</v>
      </c>
      <c r="AG52" s="8"/>
      <c r="AH52" s="291" t="s">
        <v>59</v>
      </c>
      <c r="AI52" s="288">
        <v>0.367</v>
      </c>
      <c r="AJ52" s="10"/>
    </row>
    <row r="53" spans="1:36" ht="31.5" customHeight="1">
      <c r="A53" s="8">
        <v>33</v>
      </c>
      <c r="B53" s="13" t="s">
        <v>642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23">
        <f t="shared" si="4"/>
        <v>100.84</v>
      </c>
      <c r="I53" s="8">
        <v>0</v>
      </c>
      <c r="J53" s="8">
        <v>14.164</v>
      </c>
      <c r="K53" s="8">
        <v>86.676</v>
      </c>
      <c r="L53" s="8">
        <v>0</v>
      </c>
      <c r="M53" s="8"/>
      <c r="N53" s="8"/>
      <c r="O53" s="294"/>
      <c r="P53" s="8"/>
      <c r="Q53" s="8"/>
      <c r="R53" s="32">
        <f t="shared" si="5"/>
        <v>100.84</v>
      </c>
      <c r="S53" s="8">
        <v>0</v>
      </c>
      <c r="T53" s="8">
        <v>14.164</v>
      </c>
      <c r="U53" s="8">
        <v>86.676</v>
      </c>
      <c r="V53" s="8">
        <v>0</v>
      </c>
      <c r="W53" s="8"/>
      <c r="X53" s="8"/>
      <c r="Y53" s="8"/>
      <c r="Z53" s="8"/>
      <c r="AA53" s="8"/>
      <c r="AB53" s="8"/>
      <c r="AC53" s="8"/>
      <c r="AD53" s="288">
        <v>0.05</v>
      </c>
      <c r="AE53" s="290"/>
      <c r="AF53" s="290"/>
      <c r="AG53" s="8"/>
      <c r="AH53" s="291"/>
      <c r="AI53" s="293"/>
      <c r="AJ53" s="10"/>
    </row>
    <row r="54" spans="1:36" ht="31.5" customHeight="1">
      <c r="A54" s="8">
        <v>34</v>
      </c>
      <c r="B54" s="13" t="s">
        <v>644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23">
        <f t="shared" si="4"/>
        <v>96.118</v>
      </c>
      <c r="I54" s="8">
        <v>0</v>
      </c>
      <c r="J54" s="8">
        <v>20.766</v>
      </c>
      <c r="K54" s="8">
        <v>75.352</v>
      </c>
      <c r="L54" s="8">
        <v>0</v>
      </c>
      <c r="M54" s="8"/>
      <c r="N54" s="8"/>
      <c r="O54" s="294"/>
      <c r="P54" s="8"/>
      <c r="Q54" s="8"/>
      <c r="R54" s="8">
        <f t="shared" si="5"/>
        <v>96.118</v>
      </c>
      <c r="S54" s="8">
        <v>0</v>
      </c>
      <c r="T54" s="8">
        <v>20.766</v>
      </c>
      <c r="U54" s="8">
        <v>75.352</v>
      </c>
      <c r="V54" s="8">
        <v>0</v>
      </c>
      <c r="W54" s="8"/>
      <c r="X54" s="8"/>
      <c r="Y54" s="8"/>
      <c r="Z54" s="8"/>
      <c r="AA54" s="8"/>
      <c r="AB54" s="8"/>
      <c r="AC54" s="8"/>
      <c r="AD54" s="288">
        <v>0.03</v>
      </c>
      <c r="AE54" s="290">
        <v>2011</v>
      </c>
      <c r="AF54" s="290">
        <v>30</v>
      </c>
      <c r="AG54" s="8" t="s">
        <v>916</v>
      </c>
      <c r="AH54" s="291" t="s">
        <v>912</v>
      </c>
      <c r="AI54" s="288">
        <v>0.25</v>
      </c>
      <c r="AJ54" s="10"/>
    </row>
    <row r="55" spans="1:36" ht="31.5" customHeight="1">
      <c r="A55" s="8">
        <v>35</v>
      </c>
      <c r="B55" s="13" t="s">
        <v>646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23">
        <f t="shared" si="4"/>
        <v>30.21</v>
      </c>
      <c r="I55" s="8">
        <v>0</v>
      </c>
      <c r="J55" s="8">
        <v>6.16</v>
      </c>
      <c r="K55" s="8">
        <v>24.05</v>
      </c>
      <c r="L55" s="8">
        <v>0</v>
      </c>
      <c r="M55" s="8"/>
      <c r="N55" s="8"/>
      <c r="O55" s="294"/>
      <c r="P55" s="8"/>
      <c r="Q55" s="8"/>
      <c r="R55" s="8">
        <f t="shared" si="5"/>
        <v>30.21</v>
      </c>
      <c r="S55" s="8">
        <v>0</v>
      </c>
      <c r="T55" s="8">
        <v>6.16</v>
      </c>
      <c r="U55" s="8">
        <v>24.05</v>
      </c>
      <c r="V55" s="8">
        <v>0</v>
      </c>
      <c r="W55" s="8"/>
      <c r="X55" s="8"/>
      <c r="Y55" s="8"/>
      <c r="Z55" s="8"/>
      <c r="AA55" s="8"/>
      <c r="AB55" s="8"/>
      <c r="AC55" s="8"/>
      <c r="AD55" s="288">
        <v>0.0025</v>
      </c>
      <c r="AE55" s="290">
        <v>2011</v>
      </c>
      <c r="AF55" s="290">
        <v>30</v>
      </c>
      <c r="AG55" s="8" t="s">
        <v>916</v>
      </c>
      <c r="AH55" s="291" t="s">
        <v>900</v>
      </c>
      <c r="AI55" s="293" t="s">
        <v>917</v>
      </c>
      <c r="AJ55" s="10"/>
    </row>
    <row r="56" spans="1:36" ht="31.5" customHeight="1">
      <c r="A56" s="8">
        <v>36</v>
      </c>
      <c r="B56" s="13" t="s">
        <v>648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23">
        <f t="shared" si="4"/>
        <v>55.997</v>
      </c>
      <c r="I56" s="8">
        <v>0</v>
      </c>
      <c r="J56" s="8">
        <v>11.481</v>
      </c>
      <c r="K56" s="8">
        <v>44.516</v>
      </c>
      <c r="L56" s="8">
        <v>0</v>
      </c>
      <c r="M56" s="8"/>
      <c r="N56" s="8"/>
      <c r="O56" s="294"/>
      <c r="P56" s="8"/>
      <c r="Q56" s="8"/>
      <c r="R56" s="8">
        <f t="shared" si="5"/>
        <v>55.997</v>
      </c>
      <c r="S56" s="8">
        <v>0</v>
      </c>
      <c r="T56" s="8">
        <v>11.481</v>
      </c>
      <c r="U56" s="8">
        <v>44.516</v>
      </c>
      <c r="V56" s="8">
        <v>0</v>
      </c>
      <c r="W56" s="8"/>
      <c r="X56" s="8"/>
      <c r="Y56" s="8"/>
      <c r="Z56" s="8"/>
      <c r="AA56" s="8"/>
      <c r="AB56" s="8"/>
      <c r="AC56" s="8"/>
      <c r="AD56" s="288">
        <v>0.0025</v>
      </c>
      <c r="AE56" s="290">
        <v>2011</v>
      </c>
      <c r="AF56" s="290">
        <v>30</v>
      </c>
      <c r="AG56" s="8" t="s">
        <v>916</v>
      </c>
      <c r="AH56" s="291" t="s">
        <v>912</v>
      </c>
      <c r="AI56" s="288">
        <v>0.16</v>
      </c>
      <c r="AJ56" s="10"/>
    </row>
    <row r="57" spans="1:36" ht="31.5" customHeight="1">
      <c r="A57" s="8">
        <v>37</v>
      </c>
      <c r="B57" s="13" t="s">
        <v>650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23">
        <f t="shared" si="4"/>
        <v>32.964</v>
      </c>
      <c r="I57" s="8">
        <v>0</v>
      </c>
      <c r="J57" s="8">
        <v>6.161</v>
      </c>
      <c r="K57" s="8">
        <v>26.803</v>
      </c>
      <c r="L57" s="8">
        <v>0</v>
      </c>
      <c r="M57" s="8"/>
      <c r="N57" s="8"/>
      <c r="O57" s="294"/>
      <c r="P57" s="8"/>
      <c r="Q57" s="8"/>
      <c r="R57" s="8">
        <f t="shared" si="5"/>
        <v>32.964</v>
      </c>
      <c r="S57" s="8">
        <v>0</v>
      </c>
      <c r="T57" s="8">
        <v>6.161</v>
      </c>
      <c r="U57" s="8">
        <v>26.803</v>
      </c>
      <c r="V57" s="8">
        <v>0</v>
      </c>
      <c r="W57" s="8"/>
      <c r="X57" s="8"/>
      <c r="Y57" s="8"/>
      <c r="Z57" s="8"/>
      <c r="AA57" s="8"/>
      <c r="AB57" s="8"/>
      <c r="AC57" s="8"/>
      <c r="AD57" s="288">
        <v>0.0025</v>
      </c>
      <c r="AE57" s="290">
        <v>2011</v>
      </c>
      <c r="AF57" s="290">
        <v>30</v>
      </c>
      <c r="AG57" s="8" t="s">
        <v>916</v>
      </c>
      <c r="AH57" s="291" t="s">
        <v>900</v>
      </c>
      <c r="AI57" s="293" t="s">
        <v>918</v>
      </c>
      <c r="AJ57" s="10"/>
    </row>
    <row r="58" spans="1:36" ht="31.5" customHeight="1">
      <c r="A58" s="8">
        <v>38</v>
      </c>
      <c r="B58" s="13" t="s">
        <v>652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23">
        <f aca="true" t="shared" si="6" ref="H58:H83">SUM(I58:L58)</f>
        <v>27.816</v>
      </c>
      <c r="I58" s="8">
        <v>0</v>
      </c>
      <c r="J58" s="8">
        <v>5.675</v>
      </c>
      <c r="K58" s="8">
        <v>22.141</v>
      </c>
      <c r="L58" s="8">
        <v>0</v>
      </c>
      <c r="M58" s="8"/>
      <c r="N58" s="8"/>
      <c r="O58" s="294"/>
      <c r="P58" s="8"/>
      <c r="Q58" s="8"/>
      <c r="R58" s="8">
        <f aca="true" t="shared" si="7" ref="R58:R83">SUM(S58:V58)</f>
        <v>27.816</v>
      </c>
      <c r="S58" s="8">
        <v>0</v>
      </c>
      <c r="T58" s="8">
        <v>5.675</v>
      </c>
      <c r="U58" s="8">
        <v>22.141</v>
      </c>
      <c r="V58" s="8">
        <v>0</v>
      </c>
      <c r="W58" s="8"/>
      <c r="X58" s="8"/>
      <c r="Y58" s="8"/>
      <c r="Z58" s="8"/>
      <c r="AA58" s="8"/>
      <c r="AB58" s="8"/>
      <c r="AC58" s="8"/>
      <c r="AD58" s="288">
        <v>0.0025</v>
      </c>
      <c r="AE58" s="290">
        <v>2011</v>
      </c>
      <c r="AF58" s="290">
        <v>30</v>
      </c>
      <c r="AG58" s="8" t="s">
        <v>916</v>
      </c>
      <c r="AH58" s="291" t="s">
        <v>912</v>
      </c>
      <c r="AI58" s="288">
        <v>0.07</v>
      </c>
      <c r="AJ58" s="10"/>
    </row>
    <row r="59" spans="1:36" ht="31.5" customHeight="1">
      <c r="A59" s="8">
        <v>39</v>
      </c>
      <c r="B59" s="13" t="s">
        <v>654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23">
        <f t="shared" si="6"/>
        <v>89.16999999999999</v>
      </c>
      <c r="I59" s="8">
        <v>0</v>
      </c>
      <c r="J59" s="8">
        <v>18.79</v>
      </c>
      <c r="K59" s="8">
        <v>70.38</v>
      </c>
      <c r="L59" s="8">
        <v>0</v>
      </c>
      <c r="M59" s="8"/>
      <c r="N59" s="8"/>
      <c r="O59" s="294"/>
      <c r="P59" s="8"/>
      <c r="Q59" s="8"/>
      <c r="R59" s="8">
        <f t="shared" si="7"/>
        <v>89.16999999999999</v>
      </c>
      <c r="S59" s="8">
        <v>0</v>
      </c>
      <c r="T59" s="8">
        <v>18.79</v>
      </c>
      <c r="U59" s="8">
        <v>70.38</v>
      </c>
      <c r="V59" s="8">
        <v>0</v>
      </c>
      <c r="W59" s="8"/>
      <c r="X59" s="8"/>
      <c r="Y59" s="8"/>
      <c r="Z59" s="8"/>
      <c r="AA59" s="8"/>
      <c r="AB59" s="8"/>
      <c r="AC59" s="8"/>
      <c r="AD59" s="288">
        <v>0.006</v>
      </c>
      <c r="AE59" s="290">
        <v>2011</v>
      </c>
      <c r="AF59" s="290">
        <v>30</v>
      </c>
      <c r="AG59" s="8" t="s">
        <v>916</v>
      </c>
      <c r="AH59" s="291" t="s">
        <v>900</v>
      </c>
      <c r="AI59" s="293" t="s">
        <v>919</v>
      </c>
      <c r="AJ59" s="10"/>
    </row>
    <row r="60" spans="1:36" ht="31.5" customHeight="1">
      <c r="A60" s="14" t="s">
        <v>655</v>
      </c>
      <c r="B60" s="13" t="s">
        <v>656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23">
        <f t="shared" si="6"/>
        <v>25.320999999999998</v>
      </c>
      <c r="I60" s="8">
        <v>0</v>
      </c>
      <c r="J60" s="8">
        <v>7.366</v>
      </c>
      <c r="K60" s="8">
        <v>17.955</v>
      </c>
      <c r="L60" s="8">
        <v>0</v>
      </c>
      <c r="M60" s="8"/>
      <c r="N60" s="8"/>
      <c r="O60" s="294"/>
      <c r="P60" s="8"/>
      <c r="Q60" s="8"/>
      <c r="R60" s="23">
        <f t="shared" si="7"/>
        <v>25.320999999999998</v>
      </c>
      <c r="S60" s="8">
        <v>0</v>
      </c>
      <c r="T60" s="8">
        <v>7.366</v>
      </c>
      <c r="U60" s="8">
        <v>17.955</v>
      </c>
      <c r="V60" s="8">
        <v>0</v>
      </c>
      <c r="W60" s="8"/>
      <c r="X60" s="8"/>
      <c r="Y60" s="8"/>
      <c r="Z60" s="8"/>
      <c r="AA60" s="8"/>
      <c r="AB60" s="8"/>
      <c r="AC60" s="8"/>
      <c r="AD60" s="288">
        <v>0.01</v>
      </c>
      <c r="AE60" s="290">
        <v>2011</v>
      </c>
      <c r="AF60" s="290">
        <v>30</v>
      </c>
      <c r="AG60" s="8"/>
      <c r="AH60" s="291" t="s">
        <v>907</v>
      </c>
      <c r="AI60" s="288">
        <v>0.16</v>
      </c>
      <c r="AJ60" s="10"/>
    </row>
    <row r="61" spans="1:36" ht="31.5" customHeight="1">
      <c r="A61" s="14" t="s">
        <v>657</v>
      </c>
      <c r="B61" s="13" t="s">
        <v>658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23">
        <f t="shared" si="6"/>
        <v>74.705</v>
      </c>
      <c r="I61" s="8">
        <v>0</v>
      </c>
      <c r="J61" s="8">
        <v>19.972</v>
      </c>
      <c r="K61" s="8">
        <v>54.733</v>
      </c>
      <c r="L61" s="8">
        <v>0</v>
      </c>
      <c r="M61" s="8"/>
      <c r="N61" s="8"/>
      <c r="O61" s="294"/>
      <c r="P61" s="8"/>
      <c r="Q61" s="8"/>
      <c r="R61" s="8">
        <f t="shared" si="7"/>
        <v>74.705</v>
      </c>
      <c r="S61" s="8">
        <v>0</v>
      </c>
      <c r="T61" s="8">
        <v>19.972</v>
      </c>
      <c r="U61" s="8">
        <v>54.733</v>
      </c>
      <c r="V61" s="8">
        <v>0</v>
      </c>
      <c r="W61" s="8"/>
      <c r="X61" s="8"/>
      <c r="Y61" s="8"/>
      <c r="Z61" s="8"/>
      <c r="AA61" s="8"/>
      <c r="AB61" s="8"/>
      <c r="AC61" s="8"/>
      <c r="AD61" s="288">
        <v>0.01</v>
      </c>
      <c r="AE61" s="290">
        <v>2011</v>
      </c>
      <c r="AF61" s="290">
        <v>30</v>
      </c>
      <c r="AG61" s="8"/>
      <c r="AH61" s="291" t="s">
        <v>900</v>
      </c>
      <c r="AI61" s="293" t="s">
        <v>920</v>
      </c>
      <c r="AJ61" s="10"/>
    </row>
    <row r="62" spans="1:36" ht="31.5" customHeight="1">
      <c r="A62" s="14" t="s">
        <v>659</v>
      </c>
      <c r="B62" s="13" t="s">
        <v>660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23">
        <f t="shared" si="6"/>
        <v>62.068</v>
      </c>
      <c r="I62" s="8">
        <v>0</v>
      </c>
      <c r="J62" s="8">
        <v>16.821</v>
      </c>
      <c r="K62" s="8">
        <v>45.247</v>
      </c>
      <c r="L62" s="8">
        <v>0</v>
      </c>
      <c r="M62" s="8"/>
      <c r="N62" s="8"/>
      <c r="O62" s="294"/>
      <c r="P62" s="8"/>
      <c r="Q62" s="8"/>
      <c r="R62" s="8">
        <f t="shared" si="7"/>
        <v>62.068</v>
      </c>
      <c r="S62" s="8">
        <v>0</v>
      </c>
      <c r="T62" s="8">
        <v>16.821</v>
      </c>
      <c r="U62" s="8">
        <v>45.247</v>
      </c>
      <c r="V62" s="8">
        <v>0</v>
      </c>
      <c r="W62" s="8"/>
      <c r="X62" s="8"/>
      <c r="Y62" s="8"/>
      <c r="Z62" s="8"/>
      <c r="AA62" s="8"/>
      <c r="AB62" s="8"/>
      <c r="AC62" s="8"/>
      <c r="AD62" s="288">
        <v>0.003</v>
      </c>
      <c r="AE62" s="290">
        <v>2011</v>
      </c>
      <c r="AF62" s="290">
        <v>30</v>
      </c>
      <c r="AG62" s="8" t="s">
        <v>902</v>
      </c>
      <c r="AH62" s="291" t="s">
        <v>912</v>
      </c>
      <c r="AI62" s="288">
        <v>0.11</v>
      </c>
      <c r="AJ62" s="10"/>
    </row>
    <row r="63" spans="1:36" ht="31.5" customHeight="1">
      <c r="A63" s="14" t="s">
        <v>661</v>
      </c>
      <c r="B63" s="13" t="s">
        <v>662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23">
        <f t="shared" si="6"/>
        <v>20.985</v>
      </c>
      <c r="I63" s="8">
        <v>0</v>
      </c>
      <c r="J63" s="8">
        <v>6.445</v>
      </c>
      <c r="K63" s="8">
        <v>14.54</v>
      </c>
      <c r="L63" s="8">
        <v>0</v>
      </c>
      <c r="M63" s="8"/>
      <c r="N63" s="8"/>
      <c r="O63" s="294"/>
      <c r="P63" s="8"/>
      <c r="Q63" s="8"/>
      <c r="R63" s="8">
        <f t="shared" si="7"/>
        <v>20.985</v>
      </c>
      <c r="S63" s="8">
        <v>0</v>
      </c>
      <c r="T63" s="8">
        <v>6.445</v>
      </c>
      <c r="U63" s="8">
        <v>14.54</v>
      </c>
      <c r="V63" s="8">
        <v>0</v>
      </c>
      <c r="W63" s="8"/>
      <c r="X63" s="8"/>
      <c r="Y63" s="8"/>
      <c r="Z63" s="8"/>
      <c r="AA63" s="8"/>
      <c r="AB63" s="8"/>
      <c r="AC63" s="8"/>
      <c r="AD63" s="288">
        <v>0.005</v>
      </c>
      <c r="AE63" s="290">
        <v>2011</v>
      </c>
      <c r="AF63" s="290">
        <v>30</v>
      </c>
      <c r="AG63" s="8" t="s">
        <v>916</v>
      </c>
      <c r="AH63" s="291" t="s">
        <v>921</v>
      </c>
      <c r="AI63" s="288" t="s">
        <v>920</v>
      </c>
      <c r="AJ63" s="10"/>
    </row>
    <row r="64" spans="1:36" ht="47.25" customHeight="1">
      <c r="A64" s="14" t="s">
        <v>663</v>
      </c>
      <c r="B64" s="13" t="s">
        <v>664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23">
        <f t="shared" si="6"/>
        <v>287.468</v>
      </c>
      <c r="I64" s="8">
        <v>2.699</v>
      </c>
      <c r="J64" s="8">
        <v>53.272</v>
      </c>
      <c r="K64" s="8">
        <v>231.497</v>
      </c>
      <c r="L64" s="8">
        <v>0</v>
      </c>
      <c r="M64" s="8"/>
      <c r="N64" s="8"/>
      <c r="O64" s="294"/>
      <c r="P64" s="8"/>
      <c r="Q64" s="8"/>
      <c r="R64" s="8">
        <f t="shared" si="7"/>
        <v>287.468</v>
      </c>
      <c r="S64" s="8">
        <v>2.699</v>
      </c>
      <c r="T64" s="8">
        <v>53.272</v>
      </c>
      <c r="U64" s="8">
        <v>231.497</v>
      </c>
      <c r="V64" s="8">
        <v>0</v>
      </c>
      <c r="W64" s="8"/>
      <c r="X64" s="8"/>
      <c r="Y64" s="8"/>
      <c r="Z64" s="8"/>
      <c r="AA64" s="8"/>
      <c r="AB64" s="8"/>
      <c r="AC64" s="8"/>
      <c r="AD64" s="288">
        <v>0.005</v>
      </c>
      <c r="AE64" s="290">
        <v>2011</v>
      </c>
      <c r="AF64" s="290">
        <v>30</v>
      </c>
      <c r="AG64" s="8" t="s">
        <v>902</v>
      </c>
      <c r="AH64" s="291" t="s">
        <v>922</v>
      </c>
      <c r="AI64" s="293" t="s">
        <v>923</v>
      </c>
      <c r="AJ64" s="10"/>
    </row>
    <row r="65" spans="1:36" ht="31.5" customHeight="1">
      <c r="A65" s="14" t="s">
        <v>665</v>
      </c>
      <c r="B65" s="13" t="s">
        <v>666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23">
        <f t="shared" si="6"/>
        <v>10.822</v>
      </c>
      <c r="I65" s="8">
        <v>0</v>
      </c>
      <c r="J65" s="8">
        <v>4.646</v>
      </c>
      <c r="K65" s="8">
        <v>6.176</v>
      </c>
      <c r="L65" s="8">
        <v>0</v>
      </c>
      <c r="M65" s="8"/>
      <c r="N65" s="8"/>
      <c r="O65" s="294"/>
      <c r="P65" s="8"/>
      <c r="Q65" s="8"/>
      <c r="R65" s="8">
        <f t="shared" si="7"/>
        <v>10.822</v>
      </c>
      <c r="S65" s="8">
        <v>0</v>
      </c>
      <c r="T65" s="8">
        <v>4.646</v>
      </c>
      <c r="U65" s="8">
        <v>6.176</v>
      </c>
      <c r="V65" s="8">
        <v>0</v>
      </c>
      <c r="W65" s="8"/>
      <c r="X65" s="8"/>
      <c r="Y65" s="8"/>
      <c r="Z65" s="8"/>
      <c r="AA65" s="8"/>
      <c r="AB65" s="8"/>
      <c r="AC65" s="8"/>
      <c r="AD65" s="288">
        <v>0.003</v>
      </c>
      <c r="AE65" s="290">
        <v>2011</v>
      </c>
      <c r="AF65" s="290">
        <v>30</v>
      </c>
      <c r="AG65" s="8"/>
      <c r="AH65" s="291" t="s">
        <v>907</v>
      </c>
      <c r="AI65" s="288">
        <v>0.11</v>
      </c>
      <c r="AJ65" s="10"/>
    </row>
    <row r="66" spans="1:36" ht="31.5" customHeight="1">
      <c r="A66" s="14" t="s">
        <v>667</v>
      </c>
      <c r="B66" s="13" t="s">
        <v>668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23">
        <f t="shared" si="6"/>
        <v>19.979</v>
      </c>
      <c r="I66" s="8">
        <v>0</v>
      </c>
      <c r="J66" s="8">
        <v>6.08</v>
      </c>
      <c r="K66" s="8">
        <v>13.899000000000001</v>
      </c>
      <c r="L66" s="8">
        <v>0</v>
      </c>
      <c r="M66" s="8"/>
      <c r="N66" s="8"/>
      <c r="O66" s="294"/>
      <c r="P66" s="8"/>
      <c r="Q66" s="8"/>
      <c r="R66" s="8">
        <f t="shared" si="7"/>
        <v>19.979</v>
      </c>
      <c r="S66" s="8">
        <v>0</v>
      </c>
      <c r="T66" s="8">
        <v>6.08</v>
      </c>
      <c r="U66" s="8">
        <v>13.899000000000001</v>
      </c>
      <c r="V66" s="8">
        <v>0</v>
      </c>
      <c r="W66" s="8"/>
      <c r="X66" s="8"/>
      <c r="Y66" s="8"/>
      <c r="Z66" s="8"/>
      <c r="AA66" s="8"/>
      <c r="AB66" s="8"/>
      <c r="AC66" s="8"/>
      <c r="AD66" s="288">
        <v>0.0025</v>
      </c>
      <c r="AE66" s="290">
        <v>2011</v>
      </c>
      <c r="AF66" s="290">
        <v>30</v>
      </c>
      <c r="AG66" s="8" t="s">
        <v>916</v>
      </c>
      <c r="AH66" s="291" t="s">
        <v>921</v>
      </c>
      <c r="AI66" s="288">
        <v>0.1</v>
      </c>
      <c r="AJ66" s="10"/>
    </row>
    <row r="67" spans="1:36" ht="31.5" customHeight="1">
      <c r="A67" s="14" t="s">
        <v>669</v>
      </c>
      <c r="B67" s="13" t="s">
        <v>670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23">
        <f t="shared" si="6"/>
        <v>11.520999999999999</v>
      </c>
      <c r="I67" s="8">
        <v>0</v>
      </c>
      <c r="J67" s="8">
        <v>2.92</v>
      </c>
      <c r="K67" s="8">
        <v>8.600999999999999</v>
      </c>
      <c r="L67" s="8">
        <v>0</v>
      </c>
      <c r="M67" s="8"/>
      <c r="N67" s="8"/>
      <c r="O67" s="294"/>
      <c r="P67" s="8"/>
      <c r="Q67" s="8"/>
      <c r="R67" s="8">
        <f t="shared" si="7"/>
        <v>11.520999999999999</v>
      </c>
      <c r="S67" s="8">
        <v>0</v>
      </c>
      <c r="T67" s="8">
        <v>2.92</v>
      </c>
      <c r="U67" s="8">
        <v>8.600999999999999</v>
      </c>
      <c r="V67" s="8">
        <v>0</v>
      </c>
      <c r="W67" s="8"/>
      <c r="X67" s="8"/>
      <c r="Y67" s="8"/>
      <c r="Z67" s="8"/>
      <c r="AA67" s="8"/>
      <c r="AB67" s="8"/>
      <c r="AC67" s="8"/>
      <c r="AD67" s="288">
        <v>0.007</v>
      </c>
      <c r="AE67" s="290">
        <v>2011</v>
      </c>
      <c r="AF67" s="290">
        <v>30</v>
      </c>
      <c r="AG67" s="8" t="s">
        <v>916</v>
      </c>
      <c r="AH67" s="291" t="s">
        <v>921</v>
      </c>
      <c r="AI67" s="288">
        <v>0.098</v>
      </c>
      <c r="AJ67" s="10"/>
    </row>
    <row r="68" spans="1:36" ht="31.5" customHeight="1">
      <c r="A68" s="14" t="s">
        <v>671</v>
      </c>
      <c r="B68" s="13" t="s">
        <v>672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23">
        <f t="shared" si="6"/>
        <v>8.421</v>
      </c>
      <c r="I68" s="8">
        <v>0</v>
      </c>
      <c r="J68" s="8">
        <v>3.429</v>
      </c>
      <c r="K68" s="8">
        <v>4.992</v>
      </c>
      <c r="L68" s="8">
        <v>0</v>
      </c>
      <c r="M68" s="8"/>
      <c r="N68" s="8"/>
      <c r="O68" s="294"/>
      <c r="P68" s="8"/>
      <c r="Q68" s="8"/>
      <c r="R68" s="8">
        <f t="shared" si="7"/>
        <v>8.421</v>
      </c>
      <c r="S68" s="8">
        <v>0</v>
      </c>
      <c r="T68" s="8">
        <v>3.429</v>
      </c>
      <c r="U68" s="8">
        <v>4.992</v>
      </c>
      <c r="V68" s="8">
        <v>0</v>
      </c>
      <c r="W68" s="8"/>
      <c r="X68" s="8"/>
      <c r="Y68" s="8"/>
      <c r="Z68" s="8"/>
      <c r="AA68" s="8"/>
      <c r="AB68" s="8"/>
      <c r="AC68" s="8"/>
      <c r="AD68" s="288">
        <v>0.003</v>
      </c>
      <c r="AE68" s="290">
        <v>2011</v>
      </c>
      <c r="AF68" s="290">
        <v>30</v>
      </c>
      <c r="AG68" s="8"/>
      <c r="AH68" s="291" t="s">
        <v>921</v>
      </c>
      <c r="AI68" s="288">
        <v>0.096</v>
      </c>
      <c r="AJ68" s="10"/>
    </row>
    <row r="69" spans="1:36" ht="31.5" customHeight="1">
      <c r="A69" s="14" t="s">
        <v>673</v>
      </c>
      <c r="B69" s="13" t="s">
        <v>674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23">
        <f t="shared" si="6"/>
        <v>14.52</v>
      </c>
      <c r="I69" s="8">
        <v>0</v>
      </c>
      <c r="J69" s="8">
        <v>5.945</v>
      </c>
      <c r="K69" s="8">
        <v>8.575</v>
      </c>
      <c r="L69" s="8">
        <v>0</v>
      </c>
      <c r="M69" s="8"/>
      <c r="N69" s="8"/>
      <c r="O69" s="294"/>
      <c r="P69" s="8"/>
      <c r="Q69" s="8"/>
      <c r="R69" s="8">
        <f t="shared" si="7"/>
        <v>14.52</v>
      </c>
      <c r="S69" s="8">
        <v>0</v>
      </c>
      <c r="T69" s="8">
        <v>5.945</v>
      </c>
      <c r="U69" s="8">
        <v>8.575</v>
      </c>
      <c r="V69" s="8">
        <v>0</v>
      </c>
      <c r="W69" s="8"/>
      <c r="X69" s="8"/>
      <c r="Y69" s="8"/>
      <c r="Z69" s="8"/>
      <c r="AA69" s="8"/>
      <c r="AB69" s="8"/>
      <c r="AC69" s="8"/>
      <c r="AD69" s="288">
        <v>0.014</v>
      </c>
      <c r="AE69" s="290">
        <v>2011</v>
      </c>
      <c r="AF69" s="290">
        <v>30</v>
      </c>
      <c r="AG69" s="8"/>
      <c r="AH69" s="291" t="s">
        <v>921</v>
      </c>
      <c r="AI69" s="288">
        <v>0.163</v>
      </c>
      <c r="AJ69" s="10"/>
    </row>
    <row r="70" spans="1:36" ht="31.5" customHeight="1">
      <c r="A70" s="14" t="s">
        <v>675</v>
      </c>
      <c r="B70" s="13" t="s">
        <v>676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23">
        <f t="shared" si="6"/>
        <v>22.8</v>
      </c>
      <c r="I70" s="8">
        <v>0</v>
      </c>
      <c r="J70" s="8">
        <v>22.8</v>
      </c>
      <c r="K70" s="8">
        <v>0</v>
      </c>
      <c r="L70" s="8">
        <v>0</v>
      </c>
      <c r="M70" s="8"/>
      <c r="N70" s="8"/>
      <c r="O70" s="294"/>
      <c r="P70" s="8"/>
      <c r="Q70" s="8"/>
      <c r="R70" s="8">
        <f t="shared" si="7"/>
        <v>22.8</v>
      </c>
      <c r="S70" s="8">
        <v>0</v>
      </c>
      <c r="T70" s="8">
        <v>22.8</v>
      </c>
      <c r="U70" s="8">
        <v>0</v>
      </c>
      <c r="V70" s="8">
        <v>0</v>
      </c>
      <c r="W70" s="8"/>
      <c r="X70" s="8"/>
      <c r="Y70" s="8"/>
      <c r="Z70" s="8"/>
      <c r="AA70" s="8"/>
      <c r="AB70" s="8"/>
      <c r="AC70" s="8"/>
      <c r="AD70" s="288"/>
      <c r="AE70" s="290"/>
      <c r="AF70" s="290"/>
      <c r="AG70" s="8"/>
      <c r="AH70" s="291"/>
      <c r="AI70" s="293"/>
      <c r="AJ70" s="10"/>
    </row>
    <row r="71" spans="1:36" ht="31.5" customHeight="1">
      <c r="A71" s="14" t="s">
        <v>677</v>
      </c>
      <c r="B71" s="13" t="s">
        <v>678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23">
        <f t="shared" si="6"/>
        <v>47.102000000000004</v>
      </c>
      <c r="I71" s="8">
        <v>0</v>
      </c>
      <c r="J71" s="8">
        <v>32.369</v>
      </c>
      <c r="K71" s="8">
        <v>14.733</v>
      </c>
      <c r="L71" s="8">
        <v>0</v>
      </c>
      <c r="M71" s="8"/>
      <c r="N71" s="8"/>
      <c r="O71" s="294"/>
      <c r="P71" s="8"/>
      <c r="Q71" s="8"/>
      <c r="R71" s="8">
        <f t="shared" si="7"/>
        <v>47.102000000000004</v>
      </c>
      <c r="S71" s="8">
        <v>0</v>
      </c>
      <c r="T71" s="8">
        <v>32.369</v>
      </c>
      <c r="U71" s="8">
        <v>14.733</v>
      </c>
      <c r="V71" s="8">
        <v>0</v>
      </c>
      <c r="W71" s="8"/>
      <c r="X71" s="8"/>
      <c r="Y71" s="8"/>
      <c r="Z71" s="8"/>
      <c r="AA71" s="8"/>
      <c r="AB71" s="8"/>
      <c r="AC71" s="8"/>
      <c r="AD71" s="288">
        <v>0.014</v>
      </c>
      <c r="AE71" s="290">
        <v>2011</v>
      </c>
      <c r="AF71" s="290">
        <v>30</v>
      </c>
      <c r="AG71" s="8" t="s">
        <v>916</v>
      </c>
      <c r="AH71" s="291" t="s">
        <v>924</v>
      </c>
      <c r="AI71" s="288">
        <v>0.025</v>
      </c>
      <c r="AJ71" s="10"/>
    </row>
    <row r="72" spans="1:36" ht="31.5" customHeight="1">
      <c r="A72" s="14" t="s">
        <v>679</v>
      </c>
      <c r="B72" s="13" t="s">
        <v>680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23">
        <f t="shared" si="6"/>
        <v>12.728</v>
      </c>
      <c r="I72" s="8">
        <v>0</v>
      </c>
      <c r="J72" s="8">
        <v>2.656</v>
      </c>
      <c r="K72" s="8">
        <v>10.072</v>
      </c>
      <c r="L72" s="8">
        <v>0</v>
      </c>
      <c r="M72" s="8"/>
      <c r="N72" s="8"/>
      <c r="O72" s="294"/>
      <c r="P72" s="8"/>
      <c r="Q72" s="8"/>
      <c r="R72" s="8">
        <f t="shared" si="7"/>
        <v>12.728</v>
      </c>
      <c r="S72" s="8">
        <v>0</v>
      </c>
      <c r="T72" s="8">
        <v>2.656</v>
      </c>
      <c r="U72" s="8">
        <v>10.072</v>
      </c>
      <c r="V72" s="8">
        <v>0</v>
      </c>
      <c r="W72" s="8"/>
      <c r="X72" s="8"/>
      <c r="Y72" s="8"/>
      <c r="Z72" s="8"/>
      <c r="AA72" s="8"/>
      <c r="AB72" s="8"/>
      <c r="AC72" s="8"/>
      <c r="AD72" s="288">
        <v>0.007</v>
      </c>
      <c r="AE72" s="290">
        <v>2011</v>
      </c>
      <c r="AF72" s="290">
        <v>30</v>
      </c>
      <c r="AG72" s="8" t="s">
        <v>916</v>
      </c>
      <c r="AH72" s="291" t="s">
        <v>921</v>
      </c>
      <c r="AI72" s="288">
        <v>0.07</v>
      </c>
      <c r="AJ72" s="10"/>
    </row>
    <row r="73" spans="1:36" ht="31.5" customHeight="1">
      <c r="A73" s="14" t="s">
        <v>681</v>
      </c>
      <c r="B73" s="13" t="s">
        <v>682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23">
        <f t="shared" si="6"/>
        <v>31.276</v>
      </c>
      <c r="I73" s="8">
        <v>0</v>
      </c>
      <c r="J73" s="8">
        <v>16.375</v>
      </c>
      <c r="K73" s="8">
        <v>14.901</v>
      </c>
      <c r="L73" s="8">
        <v>0</v>
      </c>
      <c r="M73" s="8"/>
      <c r="N73" s="8"/>
      <c r="O73" s="294"/>
      <c r="P73" s="8"/>
      <c r="Q73" s="8"/>
      <c r="R73" s="8">
        <f t="shared" si="7"/>
        <v>31.276</v>
      </c>
      <c r="S73" s="8">
        <v>0</v>
      </c>
      <c r="T73" s="8">
        <v>16.375</v>
      </c>
      <c r="U73" s="8">
        <v>14.901</v>
      </c>
      <c r="V73" s="8">
        <v>0</v>
      </c>
      <c r="W73" s="8"/>
      <c r="X73" s="8"/>
      <c r="Y73" s="8"/>
      <c r="Z73" s="8"/>
      <c r="AA73" s="8"/>
      <c r="AB73" s="8"/>
      <c r="AC73" s="8"/>
      <c r="AD73" s="288">
        <v>0.045</v>
      </c>
      <c r="AE73" s="290">
        <v>2011</v>
      </c>
      <c r="AF73" s="290">
        <v>30</v>
      </c>
      <c r="AG73" s="8"/>
      <c r="AH73" s="291" t="s">
        <v>924</v>
      </c>
      <c r="AI73" s="288">
        <v>0.06</v>
      </c>
      <c r="AJ73" s="10"/>
    </row>
    <row r="74" spans="1:36" ht="31.5" customHeight="1">
      <c r="A74" s="14" t="s">
        <v>683</v>
      </c>
      <c r="B74" s="13" t="s">
        <v>684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23">
        <f t="shared" si="6"/>
        <v>16.04</v>
      </c>
      <c r="I74" s="8">
        <v>0</v>
      </c>
      <c r="J74" s="8">
        <v>2.843</v>
      </c>
      <c r="K74" s="8">
        <v>13.197</v>
      </c>
      <c r="L74" s="8">
        <v>0</v>
      </c>
      <c r="M74" s="8"/>
      <c r="N74" s="8"/>
      <c r="O74" s="294"/>
      <c r="P74" s="8"/>
      <c r="Q74" s="8"/>
      <c r="R74" s="32">
        <f t="shared" si="7"/>
        <v>16.04</v>
      </c>
      <c r="S74" s="8">
        <v>0</v>
      </c>
      <c r="T74" s="8">
        <v>2.843</v>
      </c>
      <c r="U74" s="8">
        <v>13.197</v>
      </c>
      <c r="V74" s="8">
        <v>0</v>
      </c>
      <c r="W74" s="8"/>
      <c r="X74" s="8"/>
      <c r="Y74" s="8"/>
      <c r="Z74" s="8"/>
      <c r="AA74" s="8"/>
      <c r="AB74" s="8"/>
      <c r="AC74" s="8"/>
      <c r="AD74" s="288">
        <v>0.005</v>
      </c>
      <c r="AE74" s="290">
        <v>2011</v>
      </c>
      <c r="AF74" s="290">
        <v>30</v>
      </c>
      <c r="AG74" s="8"/>
      <c r="AH74" s="291" t="s">
        <v>921</v>
      </c>
      <c r="AI74" s="288">
        <v>0.27</v>
      </c>
      <c r="AJ74" s="10"/>
    </row>
    <row r="75" spans="1:36" ht="31.5" customHeight="1">
      <c r="A75" s="14" t="s">
        <v>685</v>
      </c>
      <c r="B75" s="13" t="s">
        <v>686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23">
        <f t="shared" si="6"/>
        <v>28.921</v>
      </c>
      <c r="I75" s="8">
        <v>0</v>
      </c>
      <c r="J75" s="8">
        <v>6.578</v>
      </c>
      <c r="K75" s="8">
        <v>22.343</v>
      </c>
      <c r="L75" s="8">
        <v>0</v>
      </c>
      <c r="M75" s="8"/>
      <c r="N75" s="8"/>
      <c r="O75" s="294"/>
      <c r="P75" s="8"/>
      <c r="Q75" s="8"/>
      <c r="R75" s="8">
        <f t="shared" si="7"/>
        <v>28.921</v>
      </c>
      <c r="S75" s="8">
        <v>0</v>
      </c>
      <c r="T75" s="8">
        <v>6.578</v>
      </c>
      <c r="U75" s="8">
        <v>22.343</v>
      </c>
      <c r="V75" s="8">
        <v>0</v>
      </c>
      <c r="W75" s="8"/>
      <c r="X75" s="8"/>
      <c r="Y75" s="8"/>
      <c r="Z75" s="8"/>
      <c r="AA75" s="8"/>
      <c r="AB75" s="8"/>
      <c r="AC75" s="8"/>
      <c r="AD75" s="288">
        <v>0.0025</v>
      </c>
      <c r="AE75" s="290">
        <v>2011</v>
      </c>
      <c r="AF75" s="290">
        <v>30</v>
      </c>
      <c r="AG75" s="8" t="s">
        <v>916</v>
      </c>
      <c r="AH75" s="291" t="s">
        <v>900</v>
      </c>
      <c r="AI75" s="293" t="s">
        <v>925</v>
      </c>
      <c r="AJ75" s="10"/>
    </row>
    <row r="76" spans="1:36" ht="31.5" customHeight="1">
      <c r="A76" s="14" t="s">
        <v>687</v>
      </c>
      <c r="B76" s="13" t="s">
        <v>688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23">
        <f t="shared" si="6"/>
        <v>343.868</v>
      </c>
      <c r="I76" s="8">
        <v>0</v>
      </c>
      <c r="J76" s="8">
        <v>26.068</v>
      </c>
      <c r="K76" s="8">
        <v>317.8</v>
      </c>
      <c r="L76" s="8">
        <v>0</v>
      </c>
      <c r="M76" s="8"/>
      <c r="N76" s="8"/>
      <c r="O76" s="294"/>
      <c r="P76" s="8"/>
      <c r="Q76" s="8"/>
      <c r="R76" s="8">
        <f t="shared" si="7"/>
        <v>343.868</v>
      </c>
      <c r="S76" s="8">
        <v>0</v>
      </c>
      <c r="T76" s="8">
        <v>26.068</v>
      </c>
      <c r="U76" s="8">
        <v>317.8</v>
      </c>
      <c r="V76" s="8">
        <v>0</v>
      </c>
      <c r="W76" s="8"/>
      <c r="X76" s="8"/>
      <c r="Y76" s="8"/>
      <c r="Z76" s="8"/>
      <c r="AA76" s="8">
        <v>2011</v>
      </c>
      <c r="AB76" s="8">
        <v>25</v>
      </c>
      <c r="AC76" s="8" t="s">
        <v>926</v>
      </c>
      <c r="AD76" s="288">
        <v>0.03</v>
      </c>
      <c r="AE76" s="290">
        <v>2011</v>
      </c>
      <c r="AF76" s="290">
        <v>30</v>
      </c>
      <c r="AG76" s="8"/>
      <c r="AH76" s="291" t="s">
        <v>912</v>
      </c>
      <c r="AI76" s="288">
        <v>0.30000000000000004</v>
      </c>
      <c r="AJ76" s="10"/>
    </row>
    <row r="77" spans="1:36" ht="43.5" customHeight="1">
      <c r="A77" s="14" t="s">
        <v>689</v>
      </c>
      <c r="B77" s="13" t="s">
        <v>690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23">
        <f t="shared" si="6"/>
        <v>405.251</v>
      </c>
      <c r="I77" s="8">
        <v>0</v>
      </c>
      <c r="J77" s="8">
        <v>46.77</v>
      </c>
      <c r="K77" s="8">
        <v>358.481</v>
      </c>
      <c r="L77" s="8">
        <v>0</v>
      </c>
      <c r="M77" s="8"/>
      <c r="N77" s="8"/>
      <c r="O77" s="294"/>
      <c r="P77" s="8"/>
      <c r="Q77" s="8"/>
      <c r="R77" s="8">
        <f t="shared" si="7"/>
        <v>405.251</v>
      </c>
      <c r="S77" s="8">
        <v>0</v>
      </c>
      <c r="T77" s="8">
        <v>46.77</v>
      </c>
      <c r="U77" s="8">
        <v>358.481</v>
      </c>
      <c r="V77" s="8">
        <v>0</v>
      </c>
      <c r="W77" s="8"/>
      <c r="X77" s="8"/>
      <c r="Y77" s="8"/>
      <c r="Z77" s="8"/>
      <c r="AA77" s="8">
        <v>2011</v>
      </c>
      <c r="AB77" s="8">
        <v>25</v>
      </c>
      <c r="AC77" s="8" t="s">
        <v>927</v>
      </c>
      <c r="AD77" s="288">
        <v>0.0025</v>
      </c>
      <c r="AE77" s="290">
        <v>2011</v>
      </c>
      <c r="AF77" s="290">
        <v>30</v>
      </c>
      <c r="AG77" s="8" t="s">
        <v>902</v>
      </c>
      <c r="AH77" s="291" t="s">
        <v>928</v>
      </c>
      <c r="AI77" s="293" t="s">
        <v>929</v>
      </c>
      <c r="AJ77" s="10"/>
    </row>
    <row r="78" spans="1:36" ht="31.5" customHeight="1">
      <c r="A78" s="14" t="s">
        <v>691</v>
      </c>
      <c r="B78" s="13" t="s">
        <v>692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23">
        <f t="shared" si="6"/>
        <v>200.765</v>
      </c>
      <c r="I78" s="8">
        <v>0</v>
      </c>
      <c r="J78" s="8">
        <v>27.195</v>
      </c>
      <c r="K78" s="8">
        <v>173.57</v>
      </c>
      <c r="L78" s="8">
        <v>0</v>
      </c>
      <c r="M78" s="8"/>
      <c r="N78" s="8"/>
      <c r="O78" s="294"/>
      <c r="P78" s="8"/>
      <c r="Q78" s="8"/>
      <c r="R78" s="8">
        <f t="shared" si="7"/>
        <v>200.765</v>
      </c>
      <c r="S78" s="8">
        <v>0</v>
      </c>
      <c r="T78" s="8">
        <v>27.195</v>
      </c>
      <c r="U78" s="8">
        <v>173.57</v>
      </c>
      <c r="V78" s="8">
        <v>0</v>
      </c>
      <c r="W78" s="8"/>
      <c r="X78" s="8"/>
      <c r="Y78" s="8"/>
      <c r="Z78" s="8"/>
      <c r="AA78" s="8"/>
      <c r="AB78" s="8"/>
      <c r="AC78" s="8"/>
      <c r="AD78" s="288">
        <v>0.069</v>
      </c>
      <c r="AE78" s="290">
        <v>2011</v>
      </c>
      <c r="AF78" s="290">
        <v>30</v>
      </c>
      <c r="AG78" s="8" t="s">
        <v>909</v>
      </c>
      <c r="AH78" s="291" t="s">
        <v>912</v>
      </c>
      <c r="AI78" s="288">
        <v>0.356</v>
      </c>
      <c r="AJ78" s="10"/>
    </row>
    <row r="79" spans="1:36" ht="31.5" customHeight="1">
      <c r="A79" s="14" t="s">
        <v>693</v>
      </c>
      <c r="B79" s="13" t="s">
        <v>694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23">
        <f t="shared" si="6"/>
        <v>134.677</v>
      </c>
      <c r="I79" s="8">
        <v>0</v>
      </c>
      <c r="J79" s="8">
        <v>25.695</v>
      </c>
      <c r="K79" s="8">
        <v>108.982</v>
      </c>
      <c r="L79" s="8">
        <v>0</v>
      </c>
      <c r="M79" s="8"/>
      <c r="N79" s="8"/>
      <c r="O79" s="294"/>
      <c r="P79" s="8"/>
      <c r="Q79" s="8"/>
      <c r="R79" s="8">
        <f t="shared" si="7"/>
        <v>134.677</v>
      </c>
      <c r="S79" s="8">
        <v>0</v>
      </c>
      <c r="T79" s="8">
        <v>25.695</v>
      </c>
      <c r="U79" s="8">
        <v>108.982</v>
      </c>
      <c r="V79" s="8">
        <v>0</v>
      </c>
      <c r="W79" s="8"/>
      <c r="X79" s="8"/>
      <c r="Y79" s="8"/>
      <c r="Z79" s="8"/>
      <c r="AA79" s="8"/>
      <c r="AB79" s="8"/>
      <c r="AC79" s="8"/>
      <c r="AD79" s="288">
        <v>0.0199</v>
      </c>
      <c r="AE79" s="290">
        <v>2011</v>
      </c>
      <c r="AF79" s="290">
        <v>30</v>
      </c>
      <c r="AG79" s="8" t="s">
        <v>906</v>
      </c>
      <c r="AH79" s="291" t="s">
        <v>900</v>
      </c>
      <c r="AI79" s="293" t="s">
        <v>930</v>
      </c>
      <c r="AJ79" s="10"/>
    </row>
    <row r="80" spans="1:36" ht="31.5" customHeight="1">
      <c r="A80" s="14" t="s">
        <v>695</v>
      </c>
      <c r="B80" s="13" t="s">
        <v>696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23">
        <f t="shared" si="6"/>
        <v>41.073</v>
      </c>
      <c r="I80" s="8">
        <v>0</v>
      </c>
      <c r="J80" s="8">
        <v>9.543</v>
      </c>
      <c r="K80" s="8">
        <v>31.53</v>
      </c>
      <c r="L80" s="8">
        <v>0</v>
      </c>
      <c r="M80" s="8"/>
      <c r="N80" s="8"/>
      <c r="O80" s="294"/>
      <c r="P80" s="8"/>
      <c r="Q80" s="8"/>
      <c r="R80" s="8">
        <f t="shared" si="7"/>
        <v>41.073</v>
      </c>
      <c r="S80" s="8">
        <v>0</v>
      </c>
      <c r="T80" s="8">
        <v>9.543</v>
      </c>
      <c r="U80" s="8">
        <v>31.53</v>
      </c>
      <c r="V80" s="8">
        <v>0</v>
      </c>
      <c r="W80" s="8"/>
      <c r="X80" s="8"/>
      <c r="Y80" s="8"/>
      <c r="Z80" s="8"/>
      <c r="AA80" s="8"/>
      <c r="AB80" s="8"/>
      <c r="AC80" s="8"/>
      <c r="AD80" s="288">
        <v>0.005</v>
      </c>
      <c r="AE80" s="290">
        <v>2011</v>
      </c>
      <c r="AF80" s="290">
        <v>30</v>
      </c>
      <c r="AG80" s="8" t="s">
        <v>906</v>
      </c>
      <c r="AH80" s="291" t="s">
        <v>912</v>
      </c>
      <c r="AI80" s="295">
        <v>0.1</v>
      </c>
      <c r="AJ80" s="10"/>
    </row>
    <row r="81" spans="1:36" ht="31.5" customHeight="1">
      <c r="A81" s="14" t="s">
        <v>697</v>
      </c>
      <c r="B81" s="13" t="s">
        <v>698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23">
        <f t="shared" si="6"/>
        <v>49.159</v>
      </c>
      <c r="I81" s="8">
        <v>0</v>
      </c>
      <c r="J81" s="8">
        <v>17.485</v>
      </c>
      <c r="K81" s="8">
        <v>31.674</v>
      </c>
      <c r="L81" s="8">
        <v>0</v>
      </c>
      <c r="M81" s="8"/>
      <c r="N81" s="8"/>
      <c r="O81" s="294"/>
      <c r="P81" s="8"/>
      <c r="Q81" s="8"/>
      <c r="R81" s="8">
        <f t="shared" si="7"/>
        <v>49.159</v>
      </c>
      <c r="S81" s="8">
        <v>0</v>
      </c>
      <c r="T81" s="8">
        <v>17.485</v>
      </c>
      <c r="U81" s="8">
        <v>31.674</v>
      </c>
      <c r="V81" s="8">
        <v>0</v>
      </c>
      <c r="W81" s="8"/>
      <c r="X81" s="8"/>
      <c r="Y81" s="8"/>
      <c r="Z81" s="8"/>
      <c r="AA81" s="8"/>
      <c r="AB81" s="8"/>
      <c r="AC81" s="8"/>
      <c r="AD81" s="288">
        <v>0.0015</v>
      </c>
      <c r="AE81" s="290">
        <v>2011</v>
      </c>
      <c r="AF81" s="290">
        <v>30</v>
      </c>
      <c r="AG81" s="8"/>
      <c r="AH81" s="291" t="s">
        <v>921</v>
      </c>
      <c r="AI81" s="288">
        <v>0.42</v>
      </c>
      <c r="AJ81" s="10"/>
    </row>
    <row r="82" spans="1:36" ht="31.5" customHeight="1">
      <c r="A82" s="14" t="s">
        <v>699</v>
      </c>
      <c r="B82" s="13" t="s">
        <v>700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23">
        <f t="shared" si="6"/>
        <v>39.507</v>
      </c>
      <c r="I82" s="8">
        <v>0</v>
      </c>
      <c r="J82" s="8">
        <v>8.38</v>
      </c>
      <c r="K82" s="8">
        <v>31.127</v>
      </c>
      <c r="L82" s="8">
        <v>0</v>
      </c>
      <c r="M82" s="8"/>
      <c r="N82" s="8"/>
      <c r="O82" s="294"/>
      <c r="P82" s="8"/>
      <c r="Q82" s="8"/>
      <c r="R82" s="8">
        <f t="shared" si="7"/>
        <v>39.507</v>
      </c>
      <c r="S82" s="8">
        <v>0</v>
      </c>
      <c r="T82" s="8">
        <v>8.38</v>
      </c>
      <c r="U82" s="8">
        <v>31.127</v>
      </c>
      <c r="V82" s="8">
        <v>0</v>
      </c>
      <c r="W82" s="8"/>
      <c r="X82" s="8"/>
      <c r="Y82" s="8"/>
      <c r="Z82" s="8"/>
      <c r="AA82" s="8"/>
      <c r="AB82" s="8"/>
      <c r="AC82" s="8"/>
      <c r="AD82" s="288">
        <v>0.03</v>
      </c>
      <c r="AE82" s="290">
        <v>2011</v>
      </c>
      <c r="AF82" s="290">
        <v>30</v>
      </c>
      <c r="AG82" s="8" t="s">
        <v>909</v>
      </c>
      <c r="AH82" s="291" t="s">
        <v>900</v>
      </c>
      <c r="AI82" s="293" t="s">
        <v>931</v>
      </c>
      <c r="AJ82" s="10"/>
    </row>
    <row r="83" spans="1:36" ht="31.5" customHeight="1">
      <c r="A83" s="14" t="s">
        <v>701</v>
      </c>
      <c r="B83" s="13" t="s">
        <v>702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23">
        <f t="shared" si="6"/>
        <v>388.48900000000003</v>
      </c>
      <c r="I83" s="8">
        <v>0</v>
      </c>
      <c r="J83" s="8">
        <v>75.638</v>
      </c>
      <c r="K83" s="8">
        <v>312.851</v>
      </c>
      <c r="L83" s="8">
        <v>0</v>
      </c>
      <c r="M83" s="8"/>
      <c r="N83" s="8"/>
      <c r="O83" s="294"/>
      <c r="P83" s="8"/>
      <c r="Q83" s="8"/>
      <c r="R83" s="8">
        <f t="shared" si="7"/>
        <v>388.48900000000003</v>
      </c>
      <c r="S83" s="8">
        <v>0</v>
      </c>
      <c r="T83" s="8">
        <v>75.638</v>
      </c>
      <c r="U83" s="8">
        <v>312.851</v>
      </c>
      <c r="V83" s="8">
        <v>0</v>
      </c>
      <c r="W83" s="8"/>
      <c r="X83" s="8"/>
      <c r="Y83" s="8"/>
      <c r="Z83" s="8"/>
      <c r="AA83" s="8"/>
      <c r="AB83" s="8"/>
      <c r="AC83" s="8"/>
      <c r="AD83" s="288">
        <v>0.05</v>
      </c>
      <c r="AE83" s="290">
        <v>2011</v>
      </c>
      <c r="AF83" s="290">
        <v>30</v>
      </c>
      <c r="AG83" s="8"/>
      <c r="AH83" s="291" t="s">
        <v>59</v>
      </c>
      <c r="AI83" s="288">
        <v>0.66</v>
      </c>
      <c r="AJ83" s="10"/>
    </row>
    <row r="84" spans="1:36" s="162" customFormat="1" ht="51.75" customHeight="1">
      <c r="A84" s="145" t="s">
        <v>33</v>
      </c>
      <c r="B84" s="156" t="s">
        <v>34</v>
      </c>
      <c r="C84" s="146">
        <f>C85+C93</f>
        <v>2396</v>
      </c>
      <c r="D84" s="146"/>
      <c r="E84" s="146">
        <f>E85+E93</f>
        <v>603</v>
      </c>
      <c r="F84" s="146">
        <f>F85+F93</f>
        <v>1793</v>
      </c>
      <c r="G84" s="146"/>
      <c r="H84" s="146">
        <f>H85+H93</f>
        <v>2564.3630000000003</v>
      </c>
      <c r="I84" s="147"/>
      <c r="J84" s="146">
        <f>J85+J93</f>
        <v>204.093</v>
      </c>
      <c r="K84" s="146">
        <f>K85+K93</f>
        <v>2360.27</v>
      </c>
      <c r="L84" s="296"/>
      <c r="M84" s="147"/>
      <c r="N84" s="147"/>
      <c r="O84" s="147"/>
      <c r="P84" s="147"/>
      <c r="Q84" s="147"/>
      <c r="R84" s="146">
        <f>R85+R93</f>
        <v>2564.3630000000003</v>
      </c>
      <c r="S84" s="147"/>
      <c r="T84" s="146">
        <f>T85+T93</f>
        <v>204.093</v>
      </c>
      <c r="U84" s="146">
        <f>U85+U93</f>
        <v>2360.27</v>
      </c>
      <c r="V84" s="146"/>
      <c r="W84" s="146"/>
      <c r="X84" s="146"/>
      <c r="Y84" s="146"/>
      <c r="Z84" s="146"/>
      <c r="AA84" s="146"/>
      <c r="AB84" s="146"/>
      <c r="AC84" s="146"/>
      <c r="AD84" s="146"/>
      <c r="AE84" s="160"/>
      <c r="AF84" s="160"/>
      <c r="AG84" s="160"/>
      <c r="AH84" s="160"/>
      <c r="AI84" s="160"/>
      <c r="AJ84" s="160"/>
    </row>
    <row r="85" spans="1:36" s="20" customFormat="1" ht="17.25" customHeight="1">
      <c r="A85" s="60"/>
      <c r="B85" s="17" t="s">
        <v>35</v>
      </c>
      <c r="C85" s="163">
        <f>E85+F85</f>
        <v>1864</v>
      </c>
      <c r="D85" s="3"/>
      <c r="E85" s="163">
        <f>E86+E87+E88+E89+E90+E91+E92</f>
        <v>469</v>
      </c>
      <c r="F85" s="163">
        <f>F86+F87+F88+F89+F90+F91+F92</f>
        <v>1395</v>
      </c>
      <c r="G85" s="3"/>
      <c r="H85" s="24">
        <f>H86+H87+H88+H89+H90+H91+H92</f>
        <v>1975.1480000000001</v>
      </c>
      <c r="I85" s="24"/>
      <c r="J85" s="24">
        <f>J86+J87+J88+J89+J90+J91+J92</f>
        <v>169.291</v>
      </c>
      <c r="K85" s="24">
        <f>K86+K87+K88+K89+K90+K91+K92</f>
        <v>1805.857</v>
      </c>
      <c r="L85" s="3"/>
      <c r="M85" s="3"/>
      <c r="N85" s="3"/>
      <c r="O85" s="3"/>
      <c r="P85" s="3"/>
      <c r="Q85" s="3"/>
      <c r="R85" s="24">
        <f>R86+R87+R88+R89+R90+R91+R92</f>
        <v>1975.1480000000001</v>
      </c>
      <c r="S85" s="24"/>
      <c r="T85" s="24">
        <f>T86+T87+T88+T89+T90+T91+T92</f>
        <v>169.291</v>
      </c>
      <c r="U85" s="24">
        <f>U86+U87+U88+U89+U90+U91+U92</f>
        <v>1805.857</v>
      </c>
      <c r="V85" s="3"/>
      <c r="W85" s="3"/>
      <c r="X85" s="3"/>
      <c r="Y85" s="3"/>
      <c r="Z85" s="3"/>
      <c r="AA85" s="3"/>
      <c r="AB85" s="3"/>
      <c r="AC85" s="3"/>
      <c r="AD85" s="3"/>
      <c r="AE85" s="19"/>
      <c r="AF85" s="19"/>
      <c r="AG85" s="19"/>
      <c r="AH85" s="19"/>
      <c r="AI85" s="19"/>
      <c r="AJ85" s="19"/>
    </row>
    <row r="86" spans="1:36" ht="12.75">
      <c r="A86" s="11"/>
      <c r="B86" s="13" t="s">
        <v>703</v>
      </c>
      <c r="C86" s="34">
        <v>532</v>
      </c>
      <c r="D86" s="8"/>
      <c r="E86" s="34">
        <v>134</v>
      </c>
      <c r="F86" s="34">
        <f>C86-E86</f>
        <v>398</v>
      </c>
      <c r="G86" s="8"/>
      <c r="H86" s="23">
        <v>530.159</v>
      </c>
      <c r="I86" s="8"/>
      <c r="J86" s="23">
        <v>46.722</v>
      </c>
      <c r="K86" s="23">
        <v>483.437</v>
      </c>
      <c r="L86" s="8"/>
      <c r="M86" s="8"/>
      <c r="N86" s="8"/>
      <c r="O86" s="8"/>
      <c r="P86" s="8"/>
      <c r="Q86" s="8"/>
      <c r="R86" s="23">
        <v>530.159</v>
      </c>
      <c r="S86" s="8"/>
      <c r="T86" s="23">
        <v>46.722</v>
      </c>
      <c r="U86" s="23">
        <v>483.437</v>
      </c>
      <c r="V86" s="8"/>
      <c r="W86" s="8"/>
      <c r="X86" s="8"/>
      <c r="Y86" s="8"/>
      <c r="Z86" s="8"/>
      <c r="AA86" s="8">
        <v>2011</v>
      </c>
      <c r="AB86" s="8">
        <v>20</v>
      </c>
      <c r="AC86" s="8"/>
      <c r="AD86" s="8"/>
      <c r="AE86" s="10"/>
      <c r="AF86" s="84"/>
      <c r="AG86" s="10"/>
      <c r="AH86" s="84"/>
      <c r="AI86" s="84"/>
      <c r="AJ86" s="10" t="s">
        <v>932</v>
      </c>
    </row>
    <row r="87" spans="1:36" ht="17.25" customHeight="1">
      <c r="A87" s="11"/>
      <c r="B87" s="13" t="s">
        <v>39</v>
      </c>
      <c r="C87" s="34">
        <v>266</v>
      </c>
      <c r="D87" s="8"/>
      <c r="E87" s="34">
        <v>67</v>
      </c>
      <c r="F87" s="34">
        <v>199</v>
      </c>
      <c r="G87" s="8"/>
      <c r="H87" s="167">
        <v>267.667</v>
      </c>
      <c r="I87" s="8"/>
      <c r="J87" s="23">
        <v>23.793</v>
      </c>
      <c r="K87" s="23">
        <f aca="true" t="shared" si="8" ref="K87:K92">H87-J87</f>
        <v>243.87399999999997</v>
      </c>
      <c r="L87" s="8"/>
      <c r="M87" s="8"/>
      <c r="N87" s="8"/>
      <c r="O87" s="8"/>
      <c r="P87" s="8"/>
      <c r="Q87" s="8"/>
      <c r="R87" s="167">
        <v>267.667</v>
      </c>
      <c r="S87" s="8"/>
      <c r="T87" s="23">
        <v>23.793</v>
      </c>
      <c r="U87" s="23">
        <f aca="true" t="shared" si="9" ref="U87:U92">R87-T87</f>
        <v>243.87399999999997</v>
      </c>
      <c r="V87" s="8"/>
      <c r="W87" s="8"/>
      <c r="X87" s="8"/>
      <c r="Y87" s="8"/>
      <c r="Z87" s="8"/>
      <c r="AA87" s="8">
        <v>2011</v>
      </c>
      <c r="AB87" s="8">
        <v>20</v>
      </c>
      <c r="AC87" s="8"/>
      <c r="AD87" s="8"/>
      <c r="AE87" s="10"/>
      <c r="AF87" s="84"/>
      <c r="AG87" s="10"/>
      <c r="AH87" s="84"/>
      <c r="AI87" s="84"/>
      <c r="AJ87" s="10" t="s">
        <v>933</v>
      </c>
    </row>
    <row r="88" spans="1:36" ht="12.75">
      <c r="A88" s="11"/>
      <c r="B88" s="13" t="s">
        <v>41</v>
      </c>
      <c r="C88" s="34">
        <v>532</v>
      </c>
      <c r="D88" s="8"/>
      <c r="E88" s="34">
        <v>134</v>
      </c>
      <c r="F88" s="34">
        <v>398</v>
      </c>
      <c r="G88" s="8"/>
      <c r="H88" s="167">
        <f>533.638+17.965+18.249</f>
        <v>569.8520000000001</v>
      </c>
      <c r="I88" s="8"/>
      <c r="J88" s="23">
        <v>48.178</v>
      </c>
      <c r="K88" s="23">
        <f t="shared" si="8"/>
        <v>521.6740000000001</v>
      </c>
      <c r="L88" s="8"/>
      <c r="M88" s="8"/>
      <c r="N88" s="8"/>
      <c r="O88" s="8"/>
      <c r="P88" s="8"/>
      <c r="Q88" s="8"/>
      <c r="R88" s="167">
        <f>533.638+17.965+18.249</f>
        <v>569.8520000000001</v>
      </c>
      <c r="S88" s="8"/>
      <c r="T88" s="23">
        <v>48.178</v>
      </c>
      <c r="U88" s="23">
        <f t="shared" si="9"/>
        <v>521.6740000000001</v>
      </c>
      <c r="V88" s="8"/>
      <c r="W88" s="8"/>
      <c r="X88" s="8"/>
      <c r="Y88" s="8"/>
      <c r="Z88" s="8"/>
      <c r="AA88" s="8">
        <v>2011</v>
      </c>
      <c r="AB88" s="8">
        <v>20</v>
      </c>
      <c r="AC88" s="8"/>
      <c r="AD88" s="8"/>
      <c r="AE88" s="10"/>
      <c r="AF88" s="84"/>
      <c r="AG88" s="10"/>
      <c r="AH88" s="84"/>
      <c r="AI88" s="84"/>
      <c r="AJ88" s="10" t="s">
        <v>932</v>
      </c>
    </row>
    <row r="89" spans="1:36" ht="12.75">
      <c r="A89" s="11"/>
      <c r="B89" s="13" t="s">
        <v>42</v>
      </c>
      <c r="C89" s="28">
        <v>133.5</v>
      </c>
      <c r="D89" s="8"/>
      <c r="E89" s="28">
        <v>33.5</v>
      </c>
      <c r="F89" s="34">
        <v>100</v>
      </c>
      <c r="G89" s="8"/>
      <c r="H89" s="167">
        <f>142.325+9.084</f>
        <v>151.409</v>
      </c>
      <c r="I89" s="8"/>
      <c r="J89" s="23">
        <v>12.447</v>
      </c>
      <c r="K89" s="23">
        <f t="shared" si="8"/>
        <v>138.962</v>
      </c>
      <c r="L89" s="8"/>
      <c r="M89" s="8"/>
      <c r="N89" s="8"/>
      <c r="O89" s="8"/>
      <c r="P89" s="8"/>
      <c r="Q89" s="8"/>
      <c r="R89" s="167">
        <f>142.325+9.084</f>
        <v>151.409</v>
      </c>
      <c r="S89" s="8"/>
      <c r="T89" s="23">
        <v>12.447</v>
      </c>
      <c r="U89" s="23">
        <f t="shared" si="9"/>
        <v>138.962</v>
      </c>
      <c r="V89" s="8"/>
      <c r="W89" s="8"/>
      <c r="X89" s="8"/>
      <c r="Y89" s="8"/>
      <c r="Z89" s="8"/>
      <c r="AA89" s="8">
        <v>2011</v>
      </c>
      <c r="AB89" s="8">
        <v>20</v>
      </c>
      <c r="AC89" s="8"/>
      <c r="AD89" s="8"/>
      <c r="AE89" s="10"/>
      <c r="AF89" s="84"/>
      <c r="AG89" s="10"/>
      <c r="AH89" s="84"/>
      <c r="AI89" s="84"/>
      <c r="AJ89" s="10" t="s">
        <v>934</v>
      </c>
    </row>
    <row r="90" spans="1:36" ht="12.75">
      <c r="A90" s="11"/>
      <c r="B90" s="13" t="s">
        <v>706</v>
      </c>
      <c r="C90" s="28">
        <v>133.5</v>
      </c>
      <c r="D90" s="8"/>
      <c r="E90" s="28">
        <v>33.5</v>
      </c>
      <c r="F90" s="34">
        <v>100</v>
      </c>
      <c r="G90" s="8"/>
      <c r="H90" s="167">
        <f>142.325+9.529</f>
        <v>151.85399999999998</v>
      </c>
      <c r="I90" s="8"/>
      <c r="J90" s="23">
        <v>12.447</v>
      </c>
      <c r="K90" s="23">
        <f t="shared" si="8"/>
        <v>139.40699999999998</v>
      </c>
      <c r="L90" s="8"/>
      <c r="M90" s="8"/>
      <c r="N90" s="8"/>
      <c r="O90" s="8"/>
      <c r="P90" s="8"/>
      <c r="Q90" s="8"/>
      <c r="R90" s="167">
        <f>142.325+9.529</f>
        <v>151.85399999999998</v>
      </c>
      <c r="S90" s="8"/>
      <c r="T90" s="23">
        <v>12.447</v>
      </c>
      <c r="U90" s="23">
        <f t="shared" si="9"/>
        <v>139.40699999999998</v>
      </c>
      <c r="V90" s="8"/>
      <c r="W90" s="8"/>
      <c r="X90" s="8"/>
      <c r="Y90" s="8"/>
      <c r="Z90" s="8"/>
      <c r="AA90" s="8">
        <v>2011</v>
      </c>
      <c r="AB90" s="8">
        <v>20</v>
      </c>
      <c r="AC90" s="8"/>
      <c r="AD90" s="8"/>
      <c r="AE90" s="10"/>
      <c r="AF90" s="84"/>
      <c r="AG90" s="10"/>
      <c r="AH90" s="84"/>
      <c r="AI90" s="84"/>
      <c r="AJ90" s="10" t="s">
        <v>934</v>
      </c>
    </row>
    <row r="91" spans="1:36" ht="12.75">
      <c r="A91" s="11"/>
      <c r="B91" s="13" t="s">
        <v>707</v>
      </c>
      <c r="C91" s="28">
        <v>133.5</v>
      </c>
      <c r="D91" s="8"/>
      <c r="E91" s="28">
        <v>33.5</v>
      </c>
      <c r="F91" s="34">
        <v>100</v>
      </c>
      <c r="G91" s="8"/>
      <c r="H91" s="167">
        <f>142.292+10.034</f>
        <v>152.326</v>
      </c>
      <c r="I91" s="8"/>
      <c r="J91" s="23">
        <v>12.852</v>
      </c>
      <c r="K91" s="23">
        <f t="shared" si="8"/>
        <v>139.474</v>
      </c>
      <c r="L91" s="8"/>
      <c r="M91" s="8"/>
      <c r="N91" s="8"/>
      <c r="O91" s="8"/>
      <c r="P91" s="8"/>
      <c r="Q91" s="8"/>
      <c r="R91" s="167">
        <f>142.292+10.034</f>
        <v>152.326</v>
      </c>
      <c r="S91" s="8"/>
      <c r="T91" s="23">
        <v>12.852</v>
      </c>
      <c r="U91" s="23">
        <f t="shared" si="9"/>
        <v>139.474</v>
      </c>
      <c r="V91" s="8"/>
      <c r="W91" s="8"/>
      <c r="X91" s="8"/>
      <c r="Y91" s="8"/>
      <c r="Z91" s="8"/>
      <c r="AA91" s="8">
        <v>2011</v>
      </c>
      <c r="AB91" s="8">
        <v>20</v>
      </c>
      <c r="AC91" s="8"/>
      <c r="AD91" s="8"/>
      <c r="AE91" s="10"/>
      <c r="AF91" s="84"/>
      <c r="AG91" s="10"/>
      <c r="AH91" s="84"/>
      <c r="AI91" s="84"/>
      <c r="AJ91" s="10" t="s">
        <v>934</v>
      </c>
    </row>
    <row r="92" spans="1:36" ht="12.75">
      <c r="A92" s="11"/>
      <c r="B92" s="13" t="s">
        <v>708</v>
      </c>
      <c r="C92" s="28">
        <v>133.5</v>
      </c>
      <c r="D92" s="8"/>
      <c r="E92" s="28">
        <v>33.5</v>
      </c>
      <c r="F92" s="34">
        <v>100</v>
      </c>
      <c r="G92" s="8"/>
      <c r="H92" s="167">
        <f>142.292+9.589</f>
        <v>151.881</v>
      </c>
      <c r="I92" s="8"/>
      <c r="J92" s="23">
        <v>12.852</v>
      </c>
      <c r="K92" s="23">
        <f t="shared" si="8"/>
        <v>139.029</v>
      </c>
      <c r="L92" s="8"/>
      <c r="M92" s="8"/>
      <c r="N92" s="8"/>
      <c r="O92" s="8"/>
      <c r="P92" s="8"/>
      <c r="Q92" s="8"/>
      <c r="R92" s="167">
        <f>142.292+9.589</f>
        <v>151.881</v>
      </c>
      <c r="S92" s="8"/>
      <c r="T92" s="23">
        <v>12.852</v>
      </c>
      <c r="U92" s="23">
        <f t="shared" si="9"/>
        <v>139.029</v>
      </c>
      <c r="V92" s="8"/>
      <c r="W92" s="8"/>
      <c r="X92" s="8"/>
      <c r="Y92" s="8"/>
      <c r="Z92" s="8"/>
      <c r="AA92" s="8">
        <v>2011</v>
      </c>
      <c r="AB92" s="8">
        <v>20</v>
      </c>
      <c r="AC92" s="8"/>
      <c r="AD92" s="8"/>
      <c r="AE92" s="10"/>
      <c r="AF92" s="84"/>
      <c r="AG92" s="10"/>
      <c r="AH92" s="84"/>
      <c r="AI92" s="84"/>
      <c r="AJ92" s="10" t="s">
        <v>934</v>
      </c>
    </row>
    <row r="93" spans="1:36" s="20" customFormat="1" ht="12.75">
      <c r="A93" s="11"/>
      <c r="B93" s="17" t="s">
        <v>709</v>
      </c>
      <c r="C93" s="163">
        <f>C94+C95</f>
        <v>532</v>
      </c>
      <c r="D93" s="163"/>
      <c r="E93" s="163">
        <f>E94+E95</f>
        <v>134</v>
      </c>
      <c r="F93" s="163">
        <f>F94+F95</f>
        <v>398</v>
      </c>
      <c r="G93" s="3"/>
      <c r="H93" s="24">
        <f>H94+H95</f>
        <v>589.215</v>
      </c>
      <c r="I93" s="24"/>
      <c r="J93" s="24">
        <f>J94+J95</f>
        <v>34.802</v>
      </c>
      <c r="K93" s="24">
        <f>K94+K95</f>
        <v>554.413</v>
      </c>
      <c r="L93" s="3"/>
      <c r="M93" s="3"/>
      <c r="N93" s="3"/>
      <c r="O93" s="3"/>
      <c r="P93" s="3"/>
      <c r="Q93" s="3"/>
      <c r="R93" s="24">
        <f>R94+R95</f>
        <v>589.215</v>
      </c>
      <c r="S93" s="24"/>
      <c r="T93" s="24">
        <f>T94+T95</f>
        <v>34.802</v>
      </c>
      <c r="U93" s="24">
        <f>U94+U95</f>
        <v>554.413</v>
      </c>
      <c r="V93" s="3"/>
      <c r="W93" s="3"/>
      <c r="X93" s="3"/>
      <c r="Y93" s="3"/>
      <c r="Z93" s="3"/>
      <c r="AA93" s="3"/>
      <c r="AB93" s="3"/>
      <c r="AC93" s="3"/>
      <c r="AD93" s="3"/>
      <c r="AE93" s="19"/>
      <c r="AF93" s="46"/>
      <c r="AG93" s="19"/>
      <c r="AH93" s="46"/>
      <c r="AI93" s="46"/>
      <c r="AJ93" s="19"/>
    </row>
    <row r="94" spans="1:36" ht="12.75">
      <c r="A94" s="11"/>
      <c r="B94" s="13" t="s">
        <v>710</v>
      </c>
      <c r="C94" s="34">
        <v>266</v>
      </c>
      <c r="D94" s="8"/>
      <c r="E94" s="34">
        <v>67</v>
      </c>
      <c r="F94" s="34">
        <v>199</v>
      </c>
      <c r="G94" s="8"/>
      <c r="H94" s="167">
        <f>J94+K94</f>
        <v>293.98</v>
      </c>
      <c r="I94" s="8"/>
      <c r="J94" s="23">
        <f>12.947+4.454</f>
        <v>17.401</v>
      </c>
      <c r="K94" s="23">
        <v>276.579</v>
      </c>
      <c r="L94" s="8"/>
      <c r="M94" s="8"/>
      <c r="N94" s="8"/>
      <c r="O94" s="8"/>
      <c r="P94" s="8"/>
      <c r="Q94" s="8"/>
      <c r="R94" s="167">
        <f>T94+U94</f>
        <v>293.98</v>
      </c>
      <c r="S94" s="8"/>
      <c r="T94" s="23">
        <f>12.947+4.454</f>
        <v>17.401</v>
      </c>
      <c r="U94" s="23">
        <v>276.579</v>
      </c>
      <c r="V94" s="8"/>
      <c r="W94" s="8"/>
      <c r="X94" s="8"/>
      <c r="Y94" s="8"/>
      <c r="Z94" s="8"/>
      <c r="AA94" s="8">
        <v>2011</v>
      </c>
      <c r="AB94" s="8">
        <v>20</v>
      </c>
      <c r="AC94" s="8"/>
      <c r="AD94" s="8"/>
      <c r="AE94" s="10"/>
      <c r="AF94" s="84"/>
      <c r="AG94" s="10"/>
      <c r="AH94" s="84"/>
      <c r="AI94" s="84"/>
      <c r="AJ94" s="10" t="s">
        <v>933</v>
      </c>
    </row>
    <row r="95" spans="1:36" ht="12.75">
      <c r="A95" s="11"/>
      <c r="B95" s="13" t="s">
        <v>711</v>
      </c>
      <c r="C95" s="34">
        <v>266</v>
      </c>
      <c r="D95" s="8"/>
      <c r="E95" s="34">
        <v>67</v>
      </c>
      <c r="F95" s="34">
        <v>199</v>
      </c>
      <c r="G95" s="8"/>
      <c r="H95" s="167">
        <f>J95+K95</f>
        <v>295.235</v>
      </c>
      <c r="I95" s="8"/>
      <c r="J95" s="23">
        <f>12.947+4.454</f>
        <v>17.401</v>
      </c>
      <c r="K95" s="23">
        <v>277.834</v>
      </c>
      <c r="L95" s="8"/>
      <c r="M95" s="8"/>
      <c r="N95" s="8"/>
      <c r="O95" s="8"/>
      <c r="P95" s="8"/>
      <c r="Q95" s="8"/>
      <c r="R95" s="167">
        <f>T95+U95</f>
        <v>295.235</v>
      </c>
      <c r="S95" s="8"/>
      <c r="T95" s="23">
        <f>12.947+4.454</f>
        <v>17.401</v>
      </c>
      <c r="U95" s="23">
        <v>277.834</v>
      </c>
      <c r="V95" s="8"/>
      <c r="W95" s="8"/>
      <c r="X95" s="8"/>
      <c r="Y95" s="8"/>
      <c r="Z95" s="8"/>
      <c r="AA95" s="8">
        <v>2011</v>
      </c>
      <c r="AB95" s="8">
        <v>20</v>
      </c>
      <c r="AC95" s="8"/>
      <c r="AD95" s="8"/>
      <c r="AE95" s="10"/>
      <c r="AF95" s="84"/>
      <c r="AG95" s="10"/>
      <c r="AH95" s="84"/>
      <c r="AI95" s="84"/>
      <c r="AJ95" s="10" t="s">
        <v>933</v>
      </c>
    </row>
    <row r="96" spans="1:36" s="162" customFormat="1" ht="12.75">
      <c r="A96" s="145" t="s">
        <v>504</v>
      </c>
      <c r="B96" s="156" t="s">
        <v>712</v>
      </c>
      <c r="C96" s="147">
        <f>C97+C111+C107</f>
        <v>4741.466</v>
      </c>
      <c r="D96" s="147">
        <f>D97+D111+D107</f>
        <v>90.892</v>
      </c>
      <c r="E96" s="147">
        <f>E97+E111+E107</f>
        <v>1188.444</v>
      </c>
      <c r="F96" s="147">
        <f>F97+F111+F107</f>
        <v>3380.1310000000003</v>
      </c>
      <c r="G96" s="147"/>
      <c r="H96" s="147">
        <f>H97+H111+H107</f>
        <v>4905.660000000001</v>
      </c>
      <c r="I96" s="147">
        <f>I97+I111+I107</f>
        <v>268.194</v>
      </c>
      <c r="J96" s="147">
        <f>J97+J111+J107</f>
        <v>1032.5810000000001</v>
      </c>
      <c r="K96" s="147">
        <f>K97+K111+K107</f>
        <v>3460.884</v>
      </c>
      <c r="L96" s="147"/>
      <c r="M96" s="147"/>
      <c r="N96" s="147"/>
      <c r="O96" s="147"/>
      <c r="P96" s="147"/>
      <c r="Q96" s="147"/>
      <c r="R96" s="147">
        <f>R97+R111+R107</f>
        <v>4905.660000000001</v>
      </c>
      <c r="S96" s="147">
        <f>S97+S111+S107</f>
        <v>268.194</v>
      </c>
      <c r="T96" s="147">
        <f>T97+T111+T107</f>
        <v>1032.5810000000001</v>
      </c>
      <c r="U96" s="147">
        <f>U97+U111+U107</f>
        <v>3460.884</v>
      </c>
      <c r="V96" s="146"/>
      <c r="W96" s="146"/>
      <c r="X96" s="146"/>
      <c r="Y96" s="146"/>
      <c r="Z96" s="146"/>
      <c r="AA96" s="146"/>
      <c r="AB96" s="146"/>
      <c r="AC96" s="146"/>
      <c r="AD96" s="146"/>
      <c r="AE96" s="160"/>
      <c r="AF96" s="160"/>
      <c r="AG96" s="160"/>
      <c r="AH96" s="160"/>
      <c r="AI96" s="297">
        <f>AI97+AI111</f>
        <v>1.84</v>
      </c>
      <c r="AJ96" s="160"/>
    </row>
    <row r="97" spans="1:36" s="20" customFormat="1" ht="12.75">
      <c r="A97" s="60"/>
      <c r="B97" s="171" t="s">
        <v>35</v>
      </c>
      <c r="C97" s="24">
        <f>C98+C99+C100+C101+C102+C103+C104+C105+C106</f>
        <v>3377.944</v>
      </c>
      <c r="D97" s="24">
        <f>D98+D99+D100+D101+D102+D103+D104+D105+D106</f>
        <v>90.892</v>
      </c>
      <c r="E97" s="24">
        <f>E98+E99+E100+E101+E102+E103+E104+E105+E106</f>
        <v>870.827</v>
      </c>
      <c r="F97" s="24">
        <f>F98+F99+F100+F101+F102+F103+F104+F105+F106</f>
        <v>2416.226</v>
      </c>
      <c r="G97" s="3"/>
      <c r="H97" s="24">
        <f>H98+H99+H100+H101+H102+H103+H104+H105+H106</f>
        <v>3594.2540000000004</v>
      </c>
      <c r="I97" s="24">
        <f>I98+I99+I100+I101+I102+I103+I104+I105+I106</f>
        <v>268.194</v>
      </c>
      <c r="J97" s="24">
        <f>J98+J99+J100+J101+J102+J103+J104+J105+J106</f>
        <v>797.587</v>
      </c>
      <c r="K97" s="24">
        <f>K98+K99+K100+K101+K102+K103+K104+K105+K106</f>
        <v>2528.474</v>
      </c>
      <c r="L97" s="3"/>
      <c r="M97" s="3"/>
      <c r="N97" s="3"/>
      <c r="O97" s="3"/>
      <c r="P97" s="3"/>
      <c r="Q97" s="3"/>
      <c r="R97" s="24">
        <f>R98+R99+R100+R101+R102+R103+R104+R105+R106</f>
        <v>3594.2540000000004</v>
      </c>
      <c r="S97" s="24">
        <f>S98+S99+S100+S101+S102+S103+S104+S105+S106</f>
        <v>268.194</v>
      </c>
      <c r="T97" s="24">
        <f>T98+T99+T100+T101+T102+T103+T104+T105+T106</f>
        <v>797.587</v>
      </c>
      <c r="U97" s="24">
        <f>U98+U99+U100+U101+U102+U103+U104+U105+U106</f>
        <v>2528.474</v>
      </c>
      <c r="V97" s="3"/>
      <c r="W97" s="3"/>
      <c r="X97" s="3"/>
      <c r="Y97" s="3"/>
      <c r="Z97" s="3"/>
      <c r="AA97" s="3"/>
      <c r="AB97" s="3"/>
      <c r="AC97" s="3"/>
      <c r="AD97" s="3"/>
      <c r="AE97" s="19"/>
      <c r="AF97" s="19"/>
      <c r="AG97" s="19"/>
      <c r="AH97" s="19"/>
      <c r="AI97" s="24">
        <f>AI98+AI99+AI100</f>
        <v>0.74</v>
      </c>
      <c r="AJ97" s="19"/>
    </row>
    <row r="98" spans="1:36" ht="12.75">
      <c r="A98" s="11"/>
      <c r="B98" s="13" t="s">
        <v>713</v>
      </c>
      <c r="C98" s="23">
        <v>67.981</v>
      </c>
      <c r="D98" s="23"/>
      <c r="E98" s="23">
        <v>20.118</v>
      </c>
      <c r="F98" s="23">
        <v>47.863</v>
      </c>
      <c r="G98" s="8"/>
      <c r="H98" s="23">
        <v>67.981</v>
      </c>
      <c r="I98" s="23"/>
      <c r="J98" s="23">
        <v>20.118</v>
      </c>
      <c r="K98" s="23">
        <v>47.863</v>
      </c>
      <c r="L98" s="8"/>
      <c r="M98" s="8"/>
      <c r="N98" s="8"/>
      <c r="O98" s="8"/>
      <c r="P98" s="8"/>
      <c r="Q98" s="8"/>
      <c r="R98" s="23">
        <v>67.981</v>
      </c>
      <c r="S98" s="23"/>
      <c r="T98" s="23">
        <v>20.118</v>
      </c>
      <c r="U98" s="23">
        <v>47.863</v>
      </c>
      <c r="V98" s="8"/>
      <c r="W98" s="8"/>
      <c r="X98" s="8"/>
      <c r="Y98" s="8"/>
      <c r="Z98" s="8"/>
      <c r="AA98" s="8"/>
      <c r="AB98" s="8"/>
      <c r="AC98" s="8"/>
      <c r="AD98" s="8"/>
      <c r="AE98" s="10"/>
      <c r="AF98" s="10"/>
      <c r="AG98" s="10">
        <v>25</v>
      </c>
      <c r="AH98" s="298" t="s">
        <v>935</v>
      </c>
      <c r="AI98" s="299">
        <v>0.09</v>
      </c>
      <c r="AJ98" s="10"/>
    </row>
    <row r="99" spans="1:36" ht="12.75">
      <c r="A99" s="11"/>
      <c r="B99" s="13" t="s">
        <v>714</v>
      </c>
      <c r="C99" s="23">
        <v>320.09</v>
      </c>
      <c r="D99" s="23"/>
      <c r="E99" s="23">
        <v>92.268</v>
      </c>
      <c r="F99" s="23">
        <v>227.823</v>
      </c>
      <c r="G99" s="8"/>
      <c r="H99" s="23">
        <v>320.09</v>
      </c>
      <c r="I99" s="23"/>
      <c r="J99" s="23">
        <v>92.268</v>
      </c>
      <c r="K99" s="23">
        <v>227.823</v>
      </c>
      <c r="L99" s="8"/>
      <c r="M99" s="8"/>
      <c r="N99" s="8"/>
      <c r="O99" s="8"/>
      <c r="P99" s="8"/>
      <c r="Q99" s="8"/>
      <c r="R99" s="23">
        <v>320.09</v>
      </c>
      <c r="S99" s="23"/>
      <c r="T99" s="23">
        <v>92.268</v>
      </c>
      <c r="U99" s="23">
        <v>227.823</v>
      </c>
      <c r="V99" s="8"/>
      <c r="W99" s="8"/>
      <c r="X99" s="8"/>
      <c r="Y99" s="8"/>
      <c r="Z99" s="8"/>
      <c r="AA99" s="8"/>
      <c r="AB99" s="8"/>
      <c r="AC99" s="8"/>
      <c r="AD99" s="8"/>
      <c r="AE99" s="10"/>
      <c r="AF99" s="10"/>
      <c r="AG99" s="10">
        <v>25</v>
      </c>
      <c r="AH99" s="298" t="s">
        <v>936</v>
      </c>
      <c r="AI99" s="299">
        <v>0.58</v>
      </c>
      <c r="AJ99" s="10"/>
    </row>
    <row r="100" spans="1:36" ht="12.75">
      <c r="A100" s="11"/>
      <c r="B100" s="13" t="s">
        <v>715</v>
      </c>
      <c r="C100" s="23">
        <v>46.179</v>
      </c>
      <c r="D100" s="23"/>
      <c r="E100" s="23">
        <v>17.546</v>
      </c>
      <c r="F100" s="23">
        <v>28.633</v>
      </c>
      <c r="G100" s="8"/>
      <c r="H100" s="23">
        <v>46.179</v>
      </c>
      <c r="I100" s="23"/>
      <c r="J100" s="23">
        <v>17.546</v>
      </c>
      <c r="K100" s="23">
        <v>28.633</v>
      </c>
      <c r="L100" s="8"/>
      <c r="M100" s="8"/>
      <c r="N100" s="8"/>
      <c r="O100" s="8"/>
      <c r="P100" s="8"/>
      <c r="Q100" s="8"/>
      <c r="R100" s="23">
        <v>46.179</v>
      </c>
      <c r="S100" s="23"/>
      <c r="T100" s="23">
        <v>17.546</v>
      </c>
      <c r="U100" s="23">
        <v>28.633</v>
      </c>
      <c r="V100" s="8"/>
      <c r="W100" s="8"/>
      <c r="X100" s="8"/>
      <c r="Y100" s="8"/>
      <c r="Z100" s="8"/>
      <c r="AA100" s="8"/>
      <c r="AB100" s="8"/>
      <c r="AC100" s="8"/>
      <c r="AD100" s="8"/>
      <c r="AE100" s="10"/>
      <c r="AF100" s="10"/>
      <c r="AG100" s="10">
        <v>25</v>
      </c>
      <c r="AH100" s="298" t="s">
        <v>936</v>
      </c>
      <c r="AI100" s="299">
        <v>0.07</v>
      </c>
      <c r="AJ100" s="10"/>
    </row>
    <row r="101" spans="1:36" ht="12.75">
      <c r="A101" s="11"/>
      <c r="B101" s="13" t="s">
        <v>716</v>
      </c>
      <c r="C101" s="23">
        <v>305.599</v>
      </c>
      <c r="D101" s="23"/>
      <c r="E101" s="23">
        <v>66.173</v>
      </c>
      <c r="F101" s="23">
        <f>C101-E101</f>
        <v>239.426</v>
      </c>
      <c r="G101" s="8"/>
      <c r="H101" s="23">
        <v>305.599</v>
      </c>
      <c r="I101" s="23"/>
      <c r="J101" s="23">
        <v>66.173</v>
      </c>
      <c r="K101" s="23">
        <v>239.426</v>
      </c>
      <c r="L101" s="8"/>
      <c r="M101" s="8"/>
      <c r="N101" s="8"/>
      <c r="O101" s="8"/>
      <c r="P101" s="8"/>
      <c r="Q101" s="8"/>
      <c r="R101" s="23">
        <v>305.599</v>
      </c>
      <c r="S101" s="23"/>
      <c r="T101" s="23">
        <v>66.173</v>
      </c>
      <c r="U101" s="23">
        <v>239.426</v>
      </c>
      <c r="V101" s="8"/>
      <c r="W101" s="8"/>
      <c r="X101" s="8"/>
      <c r="Y101" s="8"/>
      <c r="Z101" s="8"/>
      <c r="AA101" s="8"/>
      <c r="AB101" s="8"/>
      <c r="AC101" s="8"/>
      <c r="AD101" s="8"/>
      <c r="AE101" s="10"/>
      <c r="AF101" s="10"/>
      <c r="AG101" s="10">
        <v>25</v>
      </c>
      <c r="AH101" s="298" t="s">
        <v>937</v>
      </c>
      <c r="AI101" s="299">
        <v>0.41</v>
      </c>
      <c r="AJ101" s="10"/>
    </row>
    <row r="102" spans="1:36" ht="12.75">
      <c r="A102" s="11"/>
      <c r="B102" s="13" t="s">
        <v>717</v>
      </c>
      <c r="C102" s="167">
        <f>224.123+59.633</f>
        <v>283.756</v>
      </c>
      <c r="D102" s="23">
        <v>59.633</v>
      </c>
      <c r="E102" s="23">
        <v>48.011</v>
      </c>
      <c r="F102" s="23">
        <f>C102-D102-E102</f>
        <v>176.11199999999997</v>
      </c>
      <c r="G102" s="8"/>
      <c r="H102" s="167">
        <f>224.123+59.633</f>
        <v>283.756</v>
      </c>
      <c r="I102" s="23">
        <v>59.633</v>
      </c>
      <c r="J102" s="23">
        <v>48.011</v>
      </c>
      <c r="K102" s="23">
        <v>176.11199999999997</v>
      </c>
      <c r="L102" s="8"/>
      <c r="M102" s="8"/>
      <c r="N102" s="8"/>
      <c r="O102" s="8"/>
      <c r="P102" s="8"/>
      <c r="Q102" s="8"/>
      <c r="R102" s="167">
        <f>224.123+59.633</f>
        <v>283.756</v>
      </c>
      <c r="S102" s="23">
        <v>59.633</v>
      </c>
      <c r="T102" s="23">
        <v>48.011</v>
      </c>
      <c r="U102" s="23">
        <v>176.11199999999997</v>
      </c>
      <c r="V102" s="8"/>
      <c r="W102" s="8"/>
      <c r="X102" s="8"/>
      <c r="Y102" s="8"/>
      <c r="Z102" s="8"/>
      <c r="AA102" s="8"/>
      <c r="AB102" s="8"/>
      <c r="AC102" s="8"/>
      <c r="AD102" s="8"/>
      <c r="AE102" s="10"/>
      <c r="AF102" s="10"/>
      <c r="AG102" s="10">
        <v>25</v>
      </c>
      <c r="AH102" s="298" t="s">
        <v>70</v>
      </c>
      <c r="AI102" s="299">
        <v>0.3</v>
      </c>
      <c r="AJ102" s="10"/>
    </row>
    <row r="103" spans="1:36" ht="12.75">
      <c r="A103" s="11"/>
      <c r="B103" s="13" t="s">
        <v>718</v>
      </c>
      <c r="C103" s="167">
        <v>189.828</v>
      </c>
      <c r="D103" s="23"/>
      <c r="E103" s="23">
        <v>46.474</v>
      </c>
      <c r="F103" s="23">
        <f>C103-E103</f>
        <v>143.354</v>
      </c>
      <c r="G103" s="8"/>
      <c r="H103" s="167">
        <f>I103+J103+K103</f>
        <v>239.80700000000002</v>
      </c>
      <c r="I103" s="23">
        <v>50.008</v>
      </c>
      <c r="J103" s="23">
        <v>46.474</v>
      </c>
      <c r="K103" s="23">
        <v>143.32500000000002</v>
      </c>
      <c r="L103" s="8"/>
      <c r="M103" s="8"/>
      <c r="N103" s="8"/>
      <c r="O103" s="8"/>
      <c r="P103" s="8"/>
      <c r="Q103" s="8"/>
      <c r="R103" s="167">
        <f>S103+T103+U103</f>
        <v>239.80700000000002</v>
      </c>
      <c r="S103" s="23">
        <v>50.008</v>
      </c>
      <c r="T103" s="23">
        <v>46.474</v>
      </c>
      <c r="U103" s="23">
        <v>143.32500000000002</v>
      </c>
      <c r="V103" s="8"/>
      <c r="W103" s="8"/>
      <c r="X103" s="8"/>
      <c r="Y103" s="8"/>
      <c r="Z103" s="8"/>
      <c r="AA103" s="8"/>
      <c r="AB103" s="8"/>
      <c r="AC103" s="8"/>
      <c r="AD103" s="8"/>
      <c r="AE103" s="10"/>
      <c r="AF103" s="10"/>
      <c r="AG103" s="10">
        <v>25</v>
      </c>
      <c r="AH103" s="298" t="s">
        <v>70</v>
      </c>
      <c r="AI103" s="299">
        <v>0.3</v>
      </c>
      <c r="AJ103" s="10"/>
    </row>
    <row r="104" spans="1:36" ht="12.75">
      <c r="A104" s="11"/>
      <c r="B104" s="13" t="s">
        <v>720</v>
      </c>
      <c r="C104" s="167">
        <v>1691.511</v>
      </c>
      <c r="D104" s="23">
        <v>1.259</v>
      </c>
      <c r="E104" s="23">
        <v>403.037</v>
      </c>
      <c r="F104" s="23">
        <f>C104-E104-D104</f>
        <v>1287.215</v>
      </c>
      <c r="G104" s="8"/>
      <c r="H104" s="167">
        <f>I104+J104+K104</f>
        <v>1641.798</v>
      </c>
      <c r="I104" s="23">
        <f>47.746</f>
        <v>47.746</v>
      </c>
      <c r="J104" s="23">
        <f>403.037-45.178</f>
        <v>357.859</v>
      </c>
      <c r="K104" s="23">
        <f>1287.215-51.022</f>
        <v>1236.193</v>
      </c>
      <c r="L104" s="8"/>
      <c r="M104" s="8"/>
      <c r="N104" s="8"/>
      <c r="O104" s="8"/>
      <c r="P104" s="8"/>
      <c r="Q104" s="8"/>
      <c r="R104" s="167">
        <f>S104+T104+U104</f>
        <v>1641.798</v>
      </c>
      <c r="S104" s="23">
        <f>47.746</f>
        <v>47.746</v>
      </c>
      <c r="T104" s="23">
        <f>403.037-45.178</f>
        <v>357.859</v>
      </c>
      <c r="U104" s="23">
        <f>1287.215-51.022</f>
        <v>1236.193</v>
      </c>
      <c r="V104" s="8"/>
      <c r="W104" s="8"/>
      <c r="X104" s="8"/>
      <c r="Y104" s="8"/>
      <c r="Z104" s="8"/>
      <c r="AA104" s="8"/>
      <c r="AB104" s="8"/>
      <c r="AC104" s="8"/>
      <c r="AD104" s="8"/>
      <c r="AE104" s="10"/>
      <c r="AF104" s="10"/>
      <c r="AG104" s="10">
        <v>25</v>
      </c>
      <c r="AH104" s="298" t="s">
        <v>938</v>
      </c>
      <c r="AI104" s="299">
        <v>1.76</v>
      </c>
      <c r="AJ104" s="10"/>
    </row>
    <row r="105" spans="1:36" ht="12.75">
      <c r="A105" s="11"/>
      <c r="B105" s="13" t="s">
        <v>721</v>
      </c>
      <c r="C105" s="300">
        <f>D105+E105+F105</f>
        <v>473</v>
      </c>
      <c r="D105" s="34">
        <v>30</v>
      </c>
      <c r="E105" s="28">
        <v>177.2</v>
      </c>
      <c r="F105" s="28">
        <v>265.8</v>
      </c>
      <c r="G105" s="8"/>
      <c r="H105" s="167">
        <f>I105+J105+K105</f>
        <v>524.6800000000001</v>
      </c>
      <c r="I105" s="23">
        <v>110.807</v>
      </c>
      <c r="J105" s="23">
        <v>101.248</v>
      </c>
      <c r="K105" s="23">
        <v>312.625</v>
      </c>
      <c r="L105" s="8"/>
      <c r="M105" s="8"/>
      <c r="N105" s="8"/>
      <c r="O105" s="8"/>
      <c r="P105" s="8"/>
      <c r="Q105" s="8"/>
      <c r="R105" s="167">
        <f>S105+T105+U105</f>
        <v>524.6800000000001</v>
      </c>
      <c r="S105" s="23">
        <v>110.807</v>
      </c>
      <c r="T105" s="23">
        <v>101.248</v>
      </c>
      <c r="U105" s="23">
        <v>312.625</v>
      </c>
      <c r="V105" s="8"/>
      <c r="W105" s="8"/>
      <c r="X105" s="8"/>
      <c r="Y105" s="8"/>
      <c r="Z105" s="8"/>
      <c r="AA105" s="8"/>
      <c r="AB105" s="8"/>
      <c r="AC105" s="8"/>
      <c r="AD105" s="8"/>
      <c r="AE105" s="10"/>
      <c r="AF105" s="10"/>
      <c r="AG105" s="10">
        <v>25</v>
      </c>
      <c r="AH105" s="298" t="s">
        <v>938</v>
      </c>
      <c r="AI105" s="299">
        <v>0.525</v>
      </c>
      <c r="AJ105" s="10"/>
    </row>
    <row r="106" spans="1:36" ht="12.75">
      <c r="A106" s="11"/>
      <c r="B106" s="13" t="s">
        <v>722</v>
      </c>
      <c r="C106" s="167">
        <v>0</v>
      </c>
      <c r="D106" s="23">
        <v>0</v>
      </c>
      <c r="E106" s="23">
        <v>0</v>
      </c>
      <c r="F106" s="23">
        <v>0</v>
      </c>
      <c r="G106" s="8"/>
      <c r="H106" s="167">
        <f>J106+K106</f>
        <v>164.364</v>
      </c>
      <c r="I106" s="23"/>
      <c r="J106" s="23">
        <v>47.89</v>
      </c>
      <c r="K106" s="23">
        <v>116.474</v>
      </c>
      <c r="L106" s="8"/>
      <c r="M106" s="8"/>
      <c r="N106" s="8"/>
      <c r="O106" s="8"/>
      <c r="P106" s="8"/>
      <c r="Q106" s="8"/>
      <c r="R106" s="167">
        <f>T106+U106</f>
        <v>164.364</v>
      </c>
      <c r="S106" s="23"/>
      <c r="T106" s="23">
        <v>47.89</v>
      </c>
      <c r="U106" s="23">
        <v>116.474</v>
      </c>
      <c r="V106" s="8"/>
      <c r="W106" s="8"/>
      <c r="X106" s="8"/>
      <c r="Y106" s="8"/>
      <c r="Z106" s="8"/>
      <c r="AA106" s="8"/>
      <c r="AB106" s="8"/>
      <c r="AC106" s="8"/>
      <c r="AD106" s="8"/>
      <c r="AE106" s="10"/>
      <c r="AF106" s="10"/>
      <c r="AG106" s="10">
        <v>25</v>
      </c>
      <c r="AH106" s="298" t="s">
        <v>939</v>
      </c>
      <c r="AI106" s="299">
        <v>0.24</v>
      </c>
      <c r="AJ106" s="10"/>
    </row>
    <row r="107" spans="1:36" s="20" customFormat="1" ht="12.75">
      <c r="A107" s="11"/>
      <c r="B107" s="17" t="s">
        <v>121</v>
      </c>
      <c r="C107" s="301">
        <f>C108+C109</f>
        <v>492</v>
      </c>
      <c r="D107" s="163"/>
      <c r="E107" s="301">
        <f>E108+E109</f>
        <v>164</v>
      </c>
      <c r="F107" s="301">
        <f>F108+F109</f>
        <v>246</v>
      </c>
      <c r="G107" s="3"/>
      <c r="H107" s="69">
        <f>H108+H109</f>
        <v>377.884</v>
      </c>
      <c r="I107" s="24"/>
      <c r="J107" s="69">
        <f>J108+J109</f>
        <v>81.377</v>
      </c>
      <c r="K107" s="69">
        <f>K108+K109</f>
        <v>214.505</v>
      </c>
      <c r="L107" s="3"/>
      <c r="M107" s="3"/>
      <c r="N107" s="3"/>
      <c r="O107" s="3"/>
      <c r="P107" s="3"/>
      <c r="Q107" s="3"/>
      <c r="R107" s="69">
        <f>R108+R109</f>
        <v>377.884</v>
      </c>
      <c r="S107" s="24"/>
      <c r="T107" s="69">
        <f>T108+T109</f>
        <v>81.377</v>
      </c>
      <c r="U107" s="69">
        <f>U108+U109</f>
        <v>214.505</v>
      </c>
      <c r="V107" s="3"/>
      <c r="W107" s="3"/>
      <c r="X107" s="3"/>
      <c r="Y107" s="3"/>
      <c r="Z107" s="3"/>
      <c r="AA107" s="3"/>
      <c r="AB107" s="3"/>
      <c r="AC107" s="3"/>
      <c r="AD107" s="3"/>
      <c r="AE107" s="19"/>
      <c r="AF107" s="19"/>
      <c r="AG107" s="19"/>
      <c r="AH107" s="53"/>
      <c r="AI107" s="69">
        <f>AI108+AI109</f>
        <v>0.26</v>
      </c>
      <c r="AJ107" s="19"/>
    </row>
    <row r="108" spans="1:36" ht="30.75" customHeight="1">
      <c r="A108" s="11"/>
      <c r="B108" s="13" t="s">
        <v>724</v>
      </c>
      <c r="C108" s="300">
        <f>D108+E108+F108</f>
        <v>492</v>
      </c>
      <c r="D108" s="34">
        <v>82</v>
      </c>
      <c r="E108" s="34">
        <v>164</v>
      </c>
      <c r="F108" s="34">
        <v>246</v>
      </c>
      <c r="G108" s="8"/>
      <c r="H108" s="167">
        <f>I108+J108+K108</f>
        <v>236.456</v>
      </c>
      <c r="I108" s="23">
        <v>82.002</v>
      </c>
      <c r="J108" s="23">
        <v>37.815</v>
      </c>
      <c r="K108" s="23">
        <v>116.639</v>
      </c>
      <c r="L108" s="8"/>
      <c r="M108" s="8"/>
      <c r="N108" s="8"/>
      <c r="O108" s="8"/>
      <c r="P108" s="8"/>
      <c r="Q108" s="8"/>
      <c r="R108" s="167">
        <f>S108+T108+U108</f>
        <v>236.456</v>
      </c>
      <c r="S108" s="23">
        <v>82.002</v>
      </c>
      <c r="T108" s="23">
        <v>37.815</v>
      </c>
      <c r="U108" s="23">
        <v>116.639</v>
      </c>
      <c r="V108" s="8"/>
      <c r="W108" s="8"/>
      <c r="X108" s="8"/>
      <c r="Y108" s="8"/>
      <c r="Z108" s="8"/>
      <c r="AA108" s="8"/>
      <c r="AB108" s="8"/>
      <c r="AC108" s="8"/>
      <c r="AD108" s="8"/>
      <c r="AE108" s="10"/>
      <c r="AF108" s="10"/>
      <c r="AG108" s="10">
        <v>25</v>
      </c>
      <c r="AH108" s="298" t="s">
        <v>938</v>
      </c>
      <c r="AI108" s="299">
        <v>0.12</v>
      </c>
      <c r="AJ108" s="10"/>
    </row>
    <row r="109" spans="1:36" ht="12.75">
      <c r="A109" s="11"/>
      <c r="B109" s="13" t="s">
        <v>726</v>
      </c>
      <c r="C109" s="300">
        <v>0</v>
      </c>
      <c r="D109" s="34">
        <v>0</v>
      </c>
      <c r="E109" s="34">
        <v>0</v>
      </c>
      <c r="F109" s="34">
        <v>0</v>
      </c>
      <c r="G109" s="8"/>
      <c r="H109" s="167">
        <f>I109+J109+K109</f>
        <v>141.428</v>
      </c>
      <c r="I109" s="23"/>
      <c r="J109" s="23">
        <v>43.562</v>
      </c>
      <c r="K109" s="23">
        <v>97.866</v>
      </c>
      <c r="L109" s="8"/>
      <c r="M109" s="8"/>
      <c r="N109" s="8"/>
      <c r="O109" s="8"/>
      <c r="P109" s="8"/>
      <c r="Q109" s="8"/>
      <c r="R109" s="167">
        <f>S109+T109+U109</f>
        <v>141.428</v>
      </c>
      <c r="S109" s="23"/>
      <c r="T109" s="23">
        <v>43.562</v>
      </c>
      <c r="U109" s="23">
        <v>97.866</v>
      </c>
      <c r="V109" s="8"/>
      <c r="W109" s="8"/>
      <c r="X109" s="8"/>
      <c r="Y109" s="8"/>
      <c r="Z109" s="8"/>
      <c r="AA109" s="8"/>
      <c r="AB109" s="8"/>
      <c r="AC109" s="8"/>
      <c r="AD109" s="8"/>
      <c r="AE109" s="10"/>
      <c r="AF109" s="10"/>
      <c r="AG109" s="10">
        <v>25</v>
      </c>
      <c r="AH109" s="298" t="s">
        <v>938</v>
      </c>
      <c r="AI109" s="299">
        <v>0.14</v>
      </c>
      <c r="AJ109" s="10"/>
    </row>
    <row r="110" spans="1:36" s="311" customFormat="1" ht="12.75">
      <c r="A110" s="302"/>
      <c r="B110" s="303"/>
      <c r="C110" s="304"/>
      <c r="D110" s="305"/>
      <c r="E110" s="286"/>
      <c r="F110" s="305"/>
      <c r="G110" s="306"/>
      <c r="H110" s="307"/>
      <c r="I110" s="286"/>
      <c r="J110" s="286"/>
      <c r="K110" s="286"/>
      <c r="L110" s="306"/>
      <c r="M110" s="306"/>
      <c r="N110" s="306"/>
      <c r="O110" s="306"/>
      <c r="P110" s="306"/>
      <c r="Q110" s="306"/>
      <c r="R110" s="307"/>
      <c r="S110" s="286"/>
      <c r="T110" s="286"/>
      <c r="U110" s="286"/>
      <c r="V110" s="306"/>
      <c r="W110" s="306"/>
      <c r="X110" s="306"/>
      <c r="Y110" s="306"/>
      <c r="Z110" s="306"/>
      <c r="AA110" s="306"/>
      <c r="AB110" s="306"/>
      <c r="AC110" s="306"/>
      <c r="AD110" s="306"/>
      <c r="AE110" s="308"/>
      <c r="AF110" s="308"/>
      <c r="AG110" s="308"/>
      <c r="AH110" s="309"/>
      <c r="AI110" s="310"/>
      <c r="AJ110" s="308"/>
    </row>
    <row r="111" spans="1:36" s="20" customFormat="1" ht="12.75">
      <c r="A111" s="11"/>
      <c r="B111" s="40" t="s">
        <v>47</v>
      </c>
      <c r="C111" s="24">
        <f>C113+C114</f>
        <v>871.522</v>
      </c>
      <c r="D111" s="163"/>
      <c r="E111" s="24">
        <f>E113+E114</f>
        <v>153.61700000000008</v>
      </c>
      <c r="F111" s="24">
        <f>F113+F114</f>
        <v>717.905</v>
      </c>
      <c r="G111" s="3"/>
      <c r="H111" s="24">
        <f>H113+H114</f>
        <v>933.522</v>
      </c>
      <c r="I111" s="24"/>
      <c r="J111" s="24">
        <f>J113+J114</f>
        <v>153.61700000000008</v>
      </c>
      <c r="K111" s="24">
        <f>K113+K114</f>
        <v>717.905</v>
      </c>
      <c r="L111" s="3"/>
      <c r="M111" s="3"/>
      <c r="N111" s="3"/>
      <c r="O111" s="3"/>
      <c r="P111" s="3"/>
      <c r="Q111" s="3"/>
      <c r="R111" s="24">
        <f>R113+R114</f>
        <v>933.522</v>
      </c>
      <c r="S111" s="24"/>
      <c r="T111" s="24">
        <f>T113+T114</f>
        <v>153.61700000000008</v>
      </c>
      <c r="U111" s="24">
        <f>U113+U114</f>
        <v>717.905</v>
      </c>
      <c r="V111" s="3"/>
      <c r="W111" s="3"/>
      <c r="X111" s="3"/>
      <c r="Y111" s="3"/>
      <c r="Z111" s="3"/>
      <c r="AA111" s="3"/>
      <c r="AB111" s="3"/>
      <c r="AC111" s="3"/>
      <c r="AD111" s="3"/>
      <c r="AE111" s="19"/>
      <c r="AF111" s="19"/>
      <c r="AG111" s="19"/>
      <c r="AH111" s="19"/>
      <c r="AI111" s="19">
        <f>AI113+AI114</f>
        <v>1.1</v>
      </c>
      <c r="AJ111" s="19"/>
    </row>
    <row r="112" spans="1:36" ht="12.75">
      <c r="A112" s="11"/>
      <c r="B112" s="40" t="s">
        <v>727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10"/>
      <c r="AF112" s="10"/>
      <c r="AG112" s="10"/>
      <c r="AH112" s="10"/>
      <c r="AI112" s="10"/>
      <c r="AJ112" s="10"/>
    </row>
    <row r="113" spans="1:36" ht="12.75">
      <c r="A113" s="11"/>
      <c r="B113" s="13" t="s">
        <v>728</v>
      </c>
      <c r="C113" s="23">
        <v>541.993</v>
      </c>
      <c r="D113" s="23"/>
      <c r="E113" s="23">
        <f>C113-F113</f>
        <v>95.63200000000006</v>
      </c>
      <c r="F113" s="23">
        <v>446.361</v>
      </c>
      <c r="G113" s="8"/>
      <c r="H113" s="23">
        <v>541.993</v>
      </c>
      <c r="I113" s="23"/>
      <c r="J113" s="23">
        <f>H113-K113</f>
        <v>95.63200000000006</v>
      </c>
      <c r="K113" s="23">
        <v>446.361</v>
      </c>
      <c r="L113" s="8"/>
      <c r="M113" s="8"/>
      <c r="N113" s="8"/>
      <c r="O113" s="8"/>
      <c r="P113" s="8"/>
      <c r="Q113" s="8"/>
      <c r="R113" s="23">
        <v>541.993</v>
      </c>
      <c r="S113" s="23"/>
      <c r="T113" s="23">
        <f>R113-U113</f>
        <v>95.63200000000006</v>
      </c>
      <c r="U113" s="23">
        <v>446.361</v>
      </c>
      <c r="V113" s="8"/>
      <c r="W113" s="8"/>
      <c r="X113" s="8"/>
      <c r="Y113" s="8"/>
      <c r="Z113" s="8"/>
      <c r="AA113" s="8"/>
      <c r="AB113" s="8"/>
      <c r="AC113" s="8"/>
      <c r="AD113" s="8"/>
      <c r="AE113" s="10"/>
      <c r="AF113" s="10"/>
      <c r="AG113" s="10">
        <v>25</v>
      </c>
      <c r="AH113" s="298" t="s">
        <v>936</v>
      </c>
      <c r="AI113" s="10">
        <v>0.7</v>
      </c>
      <c r="AJ113" s="10"/>
    </row>
    <row r="114" spans="1:36" ht="12.75">
      <c r="A114" s="11"/>
      <c r="B114" s="13" t="s">
        <v>729</v>
      </c>
      <c r="C114" s="23">
        <v>329.529</v>
      </c>
      <c r="D114" s="23"/>
      <c r="E114" s="23">
        <f>C114-F114</f>
        <v>57.985000000000014</v>
      </c>
      <c r="F114" s="23">
        <v>271.544</v>
      </c>
      <c r="G114" s="8"/>
      <c r="H114" s="23">
        <f>I114+J114+K114</f>
        <v>391.529</v>
      </c>
      <c r="I114" s="34">
        <v>62</v>
      </c>
      <c r="J114" s="23">
        <v>57.985000000000014</v>
      </c>
      <c r="K114" s="23">
        <v>271.544</v>
      </c>
      <c r="L114" s="8"/>
      <c r="M114" s="8"/>
      <c r="N114" s="8"/>
      <c r="O114" s="8"/>
      <c r="P114" s="8"/>
      <c r="Q114" s="8"/>
      <c r="R114" s="23">
        <f>S114+T114+U114</f>
        <v>391.529</v>
      </c>
      <c r="S114" s="34">
        <v>62</v>
      </c>
      <c r="T114" s="23">
        <v>57.985000000000014</v>
      </c>
      <c r="U114" s="23">
        <v>271.544</v>
      </c>
      <c r="V114" s="8"/>
      <c r="W114" s="8"/>
      <c r="X114" s="8"/>
      <c r="Y114" s="8"/>
      <c r="Z114" s="8"/>
      <c r="AA114" s="8"/>
      <c r="AB114" s="8"/>
      <c r="AC114" s="8"/>
      <c r="AD114" s="8"/>
      <c r="AE114" s="10"/>
      <c r="AF114" s="10"/>
      <c r="AG114" s="10">
        <v>25</v>
      </c>
      <c r="AH114" s="298" t="s">
        <v>940</v>
      </c>
      <c r="AI114" s="10">
        <v>0.4</v>
      </c>
      <c r="AJ114" s="10"/>
    </row>
    <row r="115" spans="1:36" s="151" customFormat="1" ht="12.75">
      <c r="A115" s="145" t="s">
        <v>76</v>
      </c>
      <c r="B115" s="174" t="s">
        <v>77</v>
      </c>
      <c r="C115" s="147">
        <f>C116+C130+C138+C140+C153+C163+C173+C189+C202</f>
        <v>22787.867</v>
      </c>
      <c r="D115" s="147">
        <f>D116+D130+D138+D140+D153+D163+D173+D189+D202</f>
        <v>2439.121</v>
      </c>
      <c r="E115" s="147">
        <f>E116+E130+E138+E140+E153+E163+E173+E189+E202</f>
        <v>5109.947</v>
      </c>
      <c r="F115" s="147">
        <f>F116+F130+F138+F140+F153+F163+F173+F189+F202</f>
        <v>12930.437999999998</v>
      </c>
      <c r="G115" s="147"/>
      <c r="H115" s="147">
        <f>H116+H130+H138+H140+H153+H163+H173+H189+H202</f>
        <v>23283.49764</v>
      </c>
      <c r="I115" s="147">
        <f>I116+I130+I138+I140+I153+I163+I173+I189+I202</f>
        <v>1980.5636399999999</v>
      </c>
      <c r="J115" s="147">
        <f>J116+J130+J138+J140+J153+J163+J173+J189+J202</f>
        <v>5326.014000000001</v>
      </c>
      <c r="K115" s="147">
        <f>K116+K130+K138+K140+K153+K163+K173+K189+K202</f>
        <v>15252.695000000002</v>
      </c>
      <c r="L115" s="147"/>
      <c r="M115" s="147"/>
      <c r="N115" s="147"/>
      <c r="O115" s="147"/>
      <c r="P115" s="147"/>
      <c r="Q115" s="147"/>
      <c r="R115" s="147">
        <f>R116+R130+R138+R140+R153+R163+R173+R189+R202</f>
        <v>23283.49764</v>
      </c>
      <c r="S115" s="147">
        <f>S116+S130+S138+S140+S153+S163+S173+S189+S202</f>
        <v>1980.5636399999999</v>
      </c>
      <c r="T115" s="147">
        <f>T116+T130+T138+T140+T153+T163+T173+T189+T202</f>
        <v>5326.014000000001</v>
      </c>
      <c r="U115" s="147">
        <f>U116+U130+U138+U140+U153+U163+U173+U189+U202</f>
        <v>15252.695000000002</v>
      </c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49"/>
      <c r="AF115" s="149"/>
      <c r="AG115" s="149"/>
      <c r="AH115" s="149"/>
      <c r="AI115" s="149"/>
      <c r="AJ115" s="149"/>
    </row>
    <row r="116" spans="1:36" s="20" customFormat="1" ht="12.75">
      <c r="A116" s="60"/>
      <c r="B116" s="312" t="s">
        <v>35</v>
      </c>
      <c r="C116" s="24">
        <f>C117+C118+C119+C120+C121+C122+C123+C124+C125+C126+C127+C128+C129</f>
        <v>5431.21</v>
      </c>
      <c r="D116" s="24">
        <f>D117+D118+D119+D120+D121+D122+D123+D124+D125+D126+D127+D128+D129</f>
        <v>297.5</v>
      </c>
      <c r="E116" s="24">
        <f>E117+E118+E119+E120+E121+E122+E123+E124</f>
        <v>843.0579999999999</v>
      </c>
      <c r="F116" s="24">
        <f>F117+F118+F119+F120+F121+F122+F123+F124</f>
        <v>1982.291</v>
      </c>
      <c r="G116" s="24"/>
      <c r="H116" s="24">
        <f>H117+H118+H119+H120+H121+H122+H123+H124+H125+H126+H127+H128+H129</f>
        <v>5553.06364</v>
      </c>
      <c r="I116" s="24">
        <f>I125+I126+I127+I128+I129</f>
        <v>389.46364</v>
      </c>
      <c r="J116" s="24">
        <f>J117+J118+J119+J120+J121+J122+J123+J124+J125+J126+J127+J128+J129</f>
        <v>1416.339</v>
      </c>
      <c r="K116" s="24">
        <f>K117+K118+K119+K120+K121+K122+K123+K124+K125+K126+K127+K128+K129</f>
        <v>3747.261</v>
      </c>
      <c r="L116" s="24"/>
      <c r="M116" s="24"/>
      <c r="N116" s="24"/>
      <c r="O116" s="24"/>
      <c r="P116" s="24"/>
      <c r="Q116" s="24"/>
      <c r="R116" s="24">
        <f>R117+R118+R119+R120+R121+R122+R123+R124+R125+R126+R127+R128+R129</f>
        <v>5553.06364</v>
      </c>
      <c r="S116" s="24">
        <f>S125+S126+S127+S128+S129</f>
        <v>389.46364</v>
      </c>
      <c r="T116" s="24">
        <f>T117+T118+T119+T120+T121+T122+T123+T124+T125+T126+T127+T128+T129</f>
        <v>1416.339</v>
      </c>
      <c r="U116" s="24">
        <f>U117+U118+U119+U120+U121+U122+U123+U124+U125+U126+U127+U128+U129</f>
        <v>3747.261</v>
      </c>
      <c r="V116" s="3"/>
      <c r="W116" s="3"/>
      <c r="X116" s="3"/>
      <c r="Y116" s="3"/>
      <c r="Z116" s="3"/>
      <c r="AA116" s="3"/>
      <c r="AB116" s="3"/>
      <c r="AC116" s="3"/>
      <c r="AD116" s="3"/>
      <c r="AE116" s="19"/>
      <c r="AF116" s="19"/>
      <c r="AG116" s="19"/>
      <c r="AH116" s="19"/>
      <c r="AI116" s="19"/>
      <c r="AJ116" s="19"/>
    </row>
    <row r="117" spans="1:36" ht="45.75" customHeight="1">
      <c r="A117" s="313"/>
      <c r="B117" s="13" t="s">
        <v>730</v>
      </c>
      <c r="C117" s="23">
        <v>101.284</v>
      </c>
      <c r="D117" s="8"/>
      <c r="E117" s="23">
        <v>29.602</v>
      </c>
      <c r="F117" s="23">
        <v>71.682</v>
      </c>
      <c r="G117" s="3"/>
      <c r="H117" s="23">
        <v>101.284</v>
      </c>
      <c r="I117" s="8"/>
      <c r="J117" s="23">
        <v>29.602</v>
      </c>
      <c r="K117" s="23">
        <v>71.682</v>
      </c>
      <c r="L117" s="8"/>
      <c r="M117" s="23"/>
      <c r="N117" s="23"/>
      <c r="O117" s="8"/>
      <c r="P117" s="8"/>
      <c r="Q117" s="8"/>
      <c r="R117" s="23">
        <v>101.284</v>
      </c>
      <c r="S117" s="8"/>
      <c r="T117" s="23">
        <v>29.602</v>
      </c>
      <c r="U117" s="23">
        <v>71.682</v>
      </c>
      <c r="V117" s="8"/>
      <c r="W117" s="8"/>
      <c r="X117" s="8"/>
      <c r="Y117" s="8"/>
      <c r="Z117" s="8"/>
      <c r="AA117" s="8"/>
      <c r="AB117" s="8"/>
      <c r="AC117" s="8"/>
      <c r="AD117" s="8"/>
      <c r="AE117" s="10">
        <v>2011</v>
      </c>
      <c r="AF117" s="10"/>
      <c r="AG117" s="6" t="s">
        <v>941</v>
      </c>
      <c r="AH117" s="6" t="s">
        <v>942</v>
      </c>
      <c r="AI117" s="10">
        <v>0.31</v>
      </c>
      <c r="AJ117" s="10"/>
    </row>
    <row r="118" spans="1:36" ht="46.5" customHeight="1">
      <c r="A118" s="84"/>
      <c r="B118" s="13" t="s">
        <v>731</v>
      </c>
      <c r="C118" s="23">
        <v>128.93</v>
      </c>
      <c r="D118" s="8"/>
      <c r="E118" s="23">
        <v>38.686</v>
      </c>
      <c r="F118" s="23">
        <v>90.244</v>
      </c>
      <c r="G118" s="3"/>
      <c r="H118" s="23">
        <v>128.93</v>
      </c>
      <c r="I118" s="8"/>
      <c r="J118" s="23">
        <v>38.686</v>
      </c>
      <c r="K118" s="23">
        <v>90.244</v>
      </c>
      <c r="L118" s="8"/>
      <c r="M118" s="23"/>
      <c r="N118" s="23"/>
      <c r="O118" s="8"/>
      <c r="P118" s="8"/>
      <c r="Q118" s="8"/>
      <c r="R118" s="23">
        <v>128.93</v>
      </c>
      <c r="S118" s="8"/>
      <c r="T118" s="23">
        <v>38.686</v>
      </c>
      <c r="U118" s="23">
        <v>90.244</v>
      </c>
      <c r="V118" s="8"/>
      <c r="W118" s="8"/>
      <c r="X118" s="8"/>
      <c r="Y118" s="8"/>
      <c r="Z118" s="8"/>
      <c r="AA118" s="8"/>
      <c r="AB118" s="8"/>
      <c r="AC118" s="8"/>
      <c r="AD118" s="8"/>
      <c r="AE118" s="10">
        <v>2011</v>
      </c>
      <c r="AF118" s="10"/>
      <c r="AG118" s="6" t="s">
        <v>941</v>
      </c>
      <c r="AH118" s="6" t="s">
        <v>942</v>
      </c>
      <c r="AI118" s="10">
        <v>0.218</v>
      </c>
      <c r="AJ118" s="10"/>
    </row>
    <row r="119" spans="1:36" ht="46.5" customHeight="1">
      <c r="A119" s="84"/>
      <c r="B119" s="13" t="s">
        <v>732</v>
      </c>
      <c r="C119" s="23">
        <v>219.782</v>
      </c>
      <c r="D119" s="8"/>
      <c r="E119" s="23">
        <v>71.256</v>
      </c>
      <c r="F119" s="23">
        <v>148.526</v>
      </c>
      <c r="G119" s="3"/>
      <c r="H119" s="23">
        <v>219.782</v>
      </c>
      <c r="I119" s="8"/>
      <c r="J119" s="23">
        <v>71.256</v>
      </c>
      <c r="K119" s="23">
        <v>148.526</v>
      </c>
      <c r="L119" s="8"/>
      <c r="M119" s="23"/>
      <c r="N119" s="23"/>
      <c r="O119" s="8"/>
      <c r="P119" s="8"/>
      <c r="Q119" s="8"/>
      <c r="R119" s="23">
        <v>219.782</v>
      </c>
      <c r="S119" s="8"/>
      <c r="T119" s="23">
        <v>71.256</v>
      </c>
      <c r="U119" s="23">
        <v>148.526</v>
      </c>
      <c r="V119" s="8"/>
      <c r="W119" s="8"/>
      <c r="X119" s="8"/>
      <c r="Y119" s="8"/>
      <c r="Z119" s="8"/>
      <c r="AA119" s="8"/>
      <c r="AB119" s="8"/>
      <c r="AC119" s="8"/>
      <c r="AD119" s="8"/>
      <c r="AE119" s="10">
        <v>2011</v>
      </c>
      <c r="AF119" s="10"/>
      <c r="AG119" s="6" t="s">
        <v>941</v>
      </c>
      <c r="AH119" s="6" t="s">
        <v>943</v>
      </c>
      <c r="AI119" s="10">
        <v>0.55</v>
      </c>
      <c r="AJ119" s="10"/>
    </row>
    <row r="120" spans="1:36" ht="49.5" customHeight="1">
      <c r="A120" s="84"/>
      <c r="B120" s="13" t="s">
        <v>733</v>
      </c>
      <c r="C120" s="23">
        <v>631.59</v>
      </c>
      <c r="D120" s="314"/>
      <c r="E120" s="23">
        <v>183.646</v>
      </c>
      <c r="F120" s="23">
        <v>447.944</v>
      </c>
      <c r="G120" s="3"/>
      <c r="H120" s="23">
        <v>631.59</v>
      </c>
      <c r="I120" s="314"/>
      <c r="J120" s="23">
        <v>183.646</v>
      </c>
      <c r="K120" s="23">
        <v>447.944</v>
      </c>
      <c r="L120" s="8"/>
      <c r="M120" s="23"/>
      <c r="N120" s="23"/>
      <c r="O120" s="8"/>
      <c r="P120" s="8"/>
      <c r="Q120" s="8"/>
      <c r="R120" s="23">
        <v>631.59</v>
      </c>
      <c r="S120" s="314"/>
      <c r="T120" s="23">
        <v>183.646</v>
      </c>
      <c r="U120" s="23">
        <v>447.944</v>
      </c>
      <c r="V120" s="8"/>
      <c r="W120" s="8"/>
      <c r="X120" s="8"/>
      <c r="Y120" s="8"/>
      <c r="Z120" s="8"/>
      <c r="AA120" s="8"/>
      <c r="AB120" s="8"/>
      <c r="AC120" s="8"/>
      <c r="AD120" s="8"/>
      <c r="AE120" s="10">
        <v>2011</v>
      </c>
      <c r="AF120" s="10"/>
      <c r="AG120" s="6" t="s">
        <v>941</v>
      </c>
      <c r="AH120" s="6" t="s">
        <v>943</v>
      </c>
      <c r="AI120" s="10">
        <v>1.099</v>
      </c>
      <c r="AJ120" s="10"/>
    </row>
    <row r="121" spans="1:36" ht="49.5" customHeight="1">
      <c r="A121" s="315"/>
      <c r="B121" s="13" t="s">
        <v>734</v>
      </c>
      <c r="C121" s="23">
        <v>390.97</v>
      </c>
      <c r="D121" s="314"/>
      <c r="E121" s="23">
        <v>130.546</v>
      </c>
      <c r="F121" s="23">
        <v>260.424</v>
      </c>
      <c r="G121" s="3"/>
      <c r="H121" s="23">
        <v>390.97</v>
      </c>
      <c r="I121" s="314"/>
      <c r="J121" s="23">
        <v>130.546</v>
      </c>
      <c r="K121" s="23">
        <v>260.424</v>
      </c>
      <c r="L121" s="8"/>
      <c r="M121" s="23"/>
      <c r="N121" s="23"/>
      <c r="O121" s="8"/>
      <c r="P121" s="8"/>
      <c r="Q121" s="141"/>
      <c r="R121" s="23">
        <v>390.97</v>
      </c>
      <c r="S121" s="314"/>
      <c r="T121" s="23">
        <v>130.546</v>
      </c>
      <c r="U121" s="23">
        <v>260.424</v>
      </c>
      <c r="V121" s="316"/>
      <c r="W121" s="8"/>
      <c r="X121" s="8"/>
      <c r="Y121" s="8"/>
      <c r="Z121" s="8"/>
      <c r="AA121" s="8"/>
      <c r="AB121" s="8"/>
      <c r="AC121" s="8"/>
      <c r="AD121" s="8"/>
      <c r="AE121" s="317">
        <v>2011</v>
      </c>
      <c r="AF121" s="318"/>
      <c r="AG121" s="319" t="s">
        <v>941</v>
      </c>
      <c r="AH121" s="6" t="s">
        <v>943</v>
      </c>
      <c r="AI121" s="317">
        <v>0.73</v>
      </c>
      <c r="AJ121" s="10"/>
    </row>
    <row r="122" spans="1:36" ht="12.75">
      <c r="A122" s="233"/>
      <c r="B122" s="13" t="s">
        <v>735</v>
      </c>
      <c r="C122" s="23">
        <v>100.957</v>
      </c>
      <c r="D122" s="23"/>
      <c r="E122" s="23">
        <v>24.579</v>
      </c>
      <c r="F122" s="23">
        <v>76.378</v>
      </c>
      <c r="G122" s="3"/>
      <c r="H122" s="23">
        <v>100.957</v>
      </c>
      <c r="I122" s="23"/>
      <c r="J122" s="23">
        <v>24.579</v>
      </c>
      <c r="K122" s="23">
        <v>76.378</v>
      </c>
      <c r="L122" s="8"/>
      <c r="M122" s="23"/>
      <c r="N122" s="23"/>
      <c r="O122" s="8"/>
      <c r="P122" s="8"/>
      <c r="Q122" s="8"/>
      <c r="R122" s="23">
        <v>100.957</v>
      </c>
      <c r="S122" s="23"/>
      <c r="T122" s="23">
        <v>24.579</v>
      </c>
      <c r="U122" s="23">
        <v>76.378</v>
      </c>
      <c r="V122" s="8"/>
      <c r="W122" s="8"/>
      <c r="X122" s="8"/>
      <c r="Y122" s="8"/>
      <c r="Z122" s="8"/>
      <c r="AA122" s="8"/>
      <c r="AB122" s="8"/>
      <c r="AC122" s="8"/>
      <c r="AD122" s="8"/>
      <c r="AE122" s="10">
        <v>2011</v>
      </c>
      <c r="AF122" s="10"/>
      <c r="AG122" s="6" t="s">
        <v>941</v>
      </c>
      <c r="AH122" s="6" t="s">
        <v>942</v>
      </c>
      <c r="AI122" s="10">
        <v>0.4</v>
      </c>
      <c r="AJ122" s="10"/>
    </row>
    <row r="123" spans="1:36" ht="91.5" customHeight="1">
      <c r="A123" s="233"/>
      <c r="B123" s="13" t="s">
        <v>736</v>
      </c>
      <c r="C123" s="23">
        <v>591.224</v>
      </c>
      <c r="D123" s="110"/>
      <c r="E123" s="23">
        <v>166.295</v>
      </c>
      <c r="F123" s="23">
        <v>424.929</v>
      </c>
      <c r="G123" s="3"/>
      <c r="H123" s="23">
        <v>591.2239999999999</v>
      </c>
      <c r="I123" s="110"/>
      <c r="J123" s="23">
        <v>166.295</v>
      </c>
      <c r="K123" s="23">
        <v>424.929</v>
      </c>
      <c r="L123" s="8"/>
      <c r="M123" s="23"/>
      <c r="N123" s="23"/>
      <c r="O123" s="8"/>
      <c r="P123" s="8"/>
      <c r="Q123" s="8"/>
      <c r="R123" s="23">
        <v>591.2239999999999</v>
      </c>
      <c r="S123" s="110"/>
      <c r="T123" s="23">
        <v>166.295</v>
      </c>
      <c r="U123" s="23">
        <v>424.929</v>
      </c>
      <c r="V123" s="8"/>
      <c r="W123" s="8"/>
      <c r="X123" s="8"/>
      <c r="Y123" s="8"/>
      <c r="Z123" s="8"/>
      <c r="AA123" s="8"/>
      <c r="AB123" s="8"/>
      <c r="AC123" s="8"/>
      <c r="AD123" s="8"/>
      <c r="AE123" s="10">
        <v>2011</v>
      </c>
      <c r="AF123" s="10"/>
      <c r="AG123" s="6" t="s">
        <v>941</v>
      </c>
      <c r="AH123" s="6" t="s">
        <v>944</v>
      </c>
      <c r="AI123" s="10">
        <v>1.2</v>
      </c>
      <c r="AJ123" s="10"/>
    </row>
    <row r="124" spans="1:36" ht="45.75" customHeight="1">
      <c r="A124" s="233"/>
      <c r="B124" s="13" t="s">
        <v>737</v>
      </c>
      <c r="C124" s="23">
        <v>660.612</v>
      </c>
      <c r="D124" s="110"/>
      <c r="E124" s="23">
        <v>198.448</v>
      </c>
      <c r="F124" s="23">
        <v>462.164</v>
      </c>
      <c r="G124" s="3"/>
      <c r="H124" s="23">
        <v>660.612</v>
      </c>
      <c r="I124" s="110"/>
      <c r="J124" s="23">
        <v>198.448</v>
      </c>
      <c r="K124" s="23">
        <v>462.164</v>
      </c>
      <c r="L124" s="8"/>
      <c r="M124" s="23"/>
      <c r="N124" s="23"/>
      <c r="O124" s="8"/>
      <c r="P124" s="8"/>
      <c r="Q124" s="8"/>
      <c r="R124" s="23">
        <v>660.612</v>
      </c>
      <c r="S124" s="110"/>
      <c r="T124" s="23">
        <v>198.448</v>
      </c>
      <c r="U124" s="23">
        <v>462.164</v>
      </c>
      <c r="V124" s="8"/>
      <c r="W124" s="8"/>
      <c r="X124" s="8"/>
      <c r="Y124" s="8"/>
      <c r="Z124" s="8"/>
      <c r="AA124" s="8"/>
      <c r="AB124" s="8"/>
      <c r="AC124" s="8"/>
      <c r="AD124" s="8"/>
      <c r="AE124" s="10">
        <v>2011</v>
      </c>
      <c r="AF124" s="10"/>
      <c r="AG124" s="6" t="s">
        <v>941</v>
      </c>
      <c r="AH124" s="6" t="s">
        <v>943</v>
      </c>
      <c r="AI124" s="10">
        <v>1.06</v>
      </c>
      <c r="AJ124" s="10"/>
    </row>
    <row r="125" spans="1:36" ht="45.75" customHeight="1">
      <c r="A125" s="233"/>
      <c r="B125" s="13" t="s">
        <v>738</v>
      </c>
      <c r="C125" s="23">
        <f>D125+E125+F125</f>
        <v>233.22</v>
      </c>
      <c r="D125" s="110">
        <v>20</v>
      </c>
      <c r="E125" s="23">
        <v>59.38</v>
      </c>
      <c r="F125" s="23">
        <v>153.84</v>
      </c>
      <c r="G125" s="3"/>
      <c r="H125" s="23">
        <f>I125+J125+K125</f>
        <v>262.35644</v>
      </c>
      <c r="I125" s="110">
        <v>49.13644</v>
      </c>
      <c r="J125" s="23">
        <v>59.38</v>
      </c>
      <c r="K125" s="23">
        <v>153.84</v>
      </c>
      <c r="L125" s="8"/>
      <c r="M125" s="23"/>
      <c r="N125" s="23"/>
      <c r="O125" s="8"/>
      <c r="P125" s="8"/>
      <c r="Q125" s="8"/>
      <c r="R125" s="23">
        <f>S125+T125+U125</f>
        <v>262.35644</v>
      </c>
      <c r="S125" s="110">
        <v>49.13644</v>
      </c>
      <c r="T125" s="23">
        <v>59.38</v>
      </c>
      <c r="U125" s="23">
        <v>153.84</v>
      </c>
      <c r="V125" s="8"/>
      <c r="W125" s="8"/>
      <c r="X125" s="8"/>
      <c r="Y125" s="8"/>
      <c r="Z125" s="8"/>
      <c r="AA125" s="8"/>
      <c r="AB125" s="8"/>
      <c r="AC125" s="8"/>
      <c r="AD125" s="8"/>
      <c r="AE125" s="10">
        <v>2011</v>
      </c>
      <c r="AF125" s="10"/>
      <c r="AG125" s="6" t="s">
        <v>941</v>
      </c>
      <c r="AH125" s="6" t="s">
        <v>945</v>
      </c>
      <c r="AI125" s="10">
        <v>0.33</v>
      </c>
      <c r="AJ125" s="10"/>
    </row>
    <row r="126" spans="1:36" ht="45.75" customHeight="1">
      <c r="A126" s="233"/>
      <c r="B126" s="13" t="s">
        <v>739</v>
      </c>
      <c r="C126" s="23">
        <f>D126+E126+F126</f>
        <v>123.311</v>
      </c>
      <c r="D126" s="110">
        <v>20</v>
      </c>
      <c r="E126" s="23">
        <v>29.067</v>
      </c>
      <c r="F126" s="23">
        <v>74.244</v>
      </c>
      <c r="G126" s="3"/>
      <c r="H126" s="23">
        <f>I126+J126+K126</f>
        <v>128.6432</v>
      </c>
      <c r="I126" s="110">
        <v>25.3322</v>
      </c>
      <c r="J126" s="23">
        <v>29.067</v>
      </c>
      <c r="K126" s="23">
        <v>74.244</v>
      </c>
      <c r="L126" s="8"/>
      <c r="M126" s="23"/>
      <c r="N126" s="23"/>
      <c r="O126" s="8"/>
      <c r="P126" s="8"/>
      <c r="Q126" s="8"/>
      <c r="R126" s="23">
        <f>S126+T126+U126</f>
        <v>128.6432</v>
      </c>
      <c r="S126" s="110">
        <v>25.3322</v>
      </c>
      <c r="T126" s="23">
        <v>29.067</v>
      </c>
      <c r="U126" s="23">
        <v>74.244</v>
      </c>
      <c r="V126" s="8"/>
      <c r="W126" s="8"/>
      <c r="X126" s="8"/>
      <c r="Y126" s="8"/>
      <c r="Z126" s="8"/>
      <c r="AA126" s="8"/>
      <c r="AB126" s="8"/>
      <c r="AC126" s="8"/>
      <c r="AD126" s="8"/>
      <c r="AE126" s="10">
        <v>2011</v>
      </c>
      <c r="AF126" s="10"/>
      <c r="AG126" s="6" t="s">
        <v>941</v>
      </c>
      <c r="AH126" s="6" t="s">
        <v>945</v>
      </c>
      <c r="AI126" s="10">
        <v>0.2</v>
      </c>
      <c r="AJ126" s="10"/>
    </row>
    <row r="127" spans="1:36" ht="45.75" customHeight="1">
      <c r="A127" s="233"/>
      <c r="B127" s="13" t="s">
        <v>741</v>
      </c>
      <c r="C127" s="23">
        <f>D127+E127+F127</f>
        <v>433.21999999999997</v>
      </c>
      <c r="D127" s="110">
        <v>29</v>
      </c>
      <c r="E127" s="23">
        <v>95.693</v>
      </c>
      <c r="F127" s="23">
        <v>308.527</v>
      </c>
      <c r="G127" s="3"/>
      <c r="H127" s="23">
        <f>I127+J127+K127</f>
        <v>490.38500000000005</v>
      </c>
      <c r="I127" s="110">
        <v>86.495</v>
      </c>
      <c r="J127" s="23">
        <v>95.528</v>
      </c>
      <c r="K127" s="23">
        <v>308.362</v>
      </c>
      <c r="L127" s="8"/>
      <c r="M127" s="23"/>
      <c r="N127" s="23"/>
      <c r="O127" s="8"/>
      <c r="P127" s="8"/>
      <c r="Q127" s="8"/>
      <c r="R127" s="23">
        <f>S127+T127+U127</f>
        <v>490.38500000000005</v>
      </c>
      <c r="S127" s="110">
        <v>86.495</v>
      </c>
      <c r="T127" s="23">
        <v>95.528</v>
      </c>
      <c r="U127" s="23">
        <v>308.362</v>
      </c>
      <c r="V127" s="8"/>
      <c r="W127" s="8"/>
      <c r="X127" s="8"/>
      <c r="Y127" s="8"/>
      <c r="Z127" s="8"/>
      <c r="AA127" s="8"/>
      <c r="AB127" s="8"/>
      <c r="AC127" s="8"/>
      <c r="AD127" s="8"/>
      <c r="AE127" s="10">
        <v>2011</v>
      </c>
      <c r="AF127" s="10"/>
      <c r="AG127" s="6" t="s">
        <v>941</v>
      </c>
      <c r="AH127" s="6" t="s">
        <v>946</v>
      </c>
      <c r="AI127" s="10">
        <v>0.721</v>
      </c>
      <c r="AJ127" s="10"/>
    </row>
    <row r="128" spans="1:36" ht="170.25" customHeight="1">
      <c r="A128" s="233"/>
      <c r="B128" s="13" t="s">
        <v>742</v>
      </c>
      <c r="C128" s="23">
        <f>D128+E128+F128</f>
        <v>962.801</v>
      </c>
      <c r="D128" s="110">
        <v>112.3</v>
      </c>
      <c r="E128" s="23">
        <v>251.296</v>
      </c>
      <c r="F128" s="23">
        <v>599.205</v>
      </c>
      <c r="G128" s="3"/>
      <c r="H128" s="23">
        <f>I128+J128+K128</f>
        <v>962.801</v>
      </c>
      <c r="I128" s="110">
        <v>112.3</v>
      </c>
      <c r="J128" s="23">
        <v>251.296</v>
      </c>
      <c r="K128" s="23">
        <v>599.205</v>
      </c>
      <c r="L128" s="8"/>
      <c r="M128" s="23"/>
      <c r="N128" s="23"/>
      <c r="O128" s="8"/>
      <c r="P128" s="8"/>
      <c r="Q128" s="8"/>
      <c r="R128" s="23">
        <f>S128+T128+U128</f>
        <v>962.801</v>
      </c>
      <c r="S128" s="110">
        <v>112.3</v>
      </c>
      <c r="T128" s="23">
        <v>251.296</v>
      </c>
      <c r="U128" s="23">
        <v>599.205</v>
      </c>
      <c r="V128" s="8"/>
      <c r="W128" s="8"/>
      <c r="X128" s="8"/>
      <c r="Y128" s="8"/>
      <c r="Z128" s="8"/>
      <c r="AA128" s="8"/>
      <c r="AB128" s="8"/>
      <c r="AC128" s="8"/>
      <c r="AD128" s="8"/>
      <c r="AE128" s="10">
        <v>2011</v>
      </c>
      <c r="AF128" s="10"/>
      <c r="AG128" s="6" t="s">
        <v>941</v>
      </c>
      <c r="AH128" s="6" t="s">
        <v>947</v>
      </c>
      <c r="AI128" s="10">
        <v>2.2</v>
      </c>
      <c r="AJ128" s="10"/>
    </row>
    <row r="129" spans="1:36" ht="51" customHeight="1">
      <c r="A129" s="233"/>
      <c r="B129" s="13" t="s">
        <v>948</v>
      </c>
      <c r="C129" s="23">
        <f>D129+E129+F129</f>
        <v>853.309</v>
      </c>
      <c r="D129" s="110">
        <v>116.2</v>
      </c>
      <c r="E129" s="23">
        <v>294.843</v>
      </c>
      <c r="F129" s="23">
        <v>442.266</v>
      </c>
      <c r="G129" s="3"/>
      <c r="H129" s="23">
        <f>I129+J129+K129</f>
        <v>883.529</v>
      </c>
      <c r="I129" s="110">
        <v>116.2</v>
      </c>
      <c r="J129" s="23">
        <v>138.01</v>
      </c>
      <c r="K129" s="23">
        <v>629.319</v>
      </c>
      <c r="L129" s="8"/>
      <c r="M129" s="23"/>
      <c r="N129" s="23"/>
      <c r="O129" s="8"/>
      <c r="P129" s="8"/>
      <c r="Q129" s="8"/>
      <c r="R129" s="23">
        <f>S129+T129+U129</f>
        <v>883.529</v>
      </c>
      <c r="S129" s="110">
        <v>116.2</v>
      </c>
      <c r="T129" s="23">
        <v>138.01</v>
      </c>
      <c r="U129" s="23">
        <v>629.319</v>
      </c>
      <c r="V129" s="8"/>
      <c r="W129" s="8"/>
      <c r="X129" s="8"/>
      <c r="Y129" s="8"/>
      <c r="Z129" s="8"/>
      <c r="AA129" s="8"/>
      <c r="AB129" s="8"/>
      <c r="AC129" s="8"/>
      <c r="AD129" s="8"/>
      <c r="AE129" s="10">
        <v>2011</v>
      </c>
      <c r="AF129" s="10">
        <v>15</v>
      </c>
      <c r="AG129" s="6" t="s">
        <v>941</v>
      </c>
      <c r="AH129" s="6" t="s">
        <v>949</v>
      </c>
      <c r="AI129" s="10">
        <v>2.027</v>
      </c>
      <c r="AJ129" s="10"/>
    </row>
    <row r="130" spans="1:36" s="20" customFormat="1" ht="12.75">
      <c r="A130" s="313"/>
      <c r="B130" s="240" t="s">
        <v>121</v>
      </c>
      <c r="C130" s="24">
        <f>C131+C132+C133+C134+C135+C136</f>
        <v>1456.561</v>
      </c>
      <c r="D130" s="24">
        <f>D131+D132+D133+D134+D135+D136</f>
        <v>162</v>
      </c>
      <c r="E130" s="24">
        <f>E131+E132+E133+E134+E135+E136</f>
        <v>390.059</v>
      </c>
      <c r="F130" s="24">
        <f>F131+F132+F133+F134+F135+F136</f>
        <v>904.502</v>
      </c>
      <c r="G130" s="3"/>
      <c r="H130" s="24">
        <f>H131+H132+H133+H134+H135+H136</f>
        <v>1480.725</v>
      </c>
      <c r="I130" s="24">
        <f>I131+I132+I133+I134+I135+I136</f>
        <v>162.52100000000002</v>
      </c>
      <c r="J130" s="24">
        <f>J131+J132+J133+J134+J135+J136</f>
        <v>346.26599999999996</v>
      </c>
      <c r="K130" s="24">
        <f>K131+K132+K133+K134+K135+K136</f>
        <v>971.9380000000001</v>
      </c>
      <c r="L130" s="24"/>
      <c r="M130" s="24"/>
      <c r="N130" s="24"/>
      <c r="O130" s="24"/>
      <c r="P130" s="24"/>
      <c r="Q130" s="24"/>
      <c r="R130" s="24">
        <f>R131+R132+R133+R134+R135+R136</f>
        <v>1480.725</v>
      </c>
      <c r="S130" s="24">
        <f>S131+S132+S133+S134+S135+S136</f>
        <v>162.52100000000002</v>
      </c>
      <c r="T130" s="24">
        <f>T131+T132+T133+T134+T135+T136</f>
        <v>346.26599999999996</v>
      </c>
      <c r="U130" s="24">
        <f>U131+U132+U133+U134+U135+U136</f>
        <v>971.9380000000001</v>
      </c>
      <c r="V130" s="3"/>
      <c r="W130" s="3"/>
      <c r="X130" s="3"/>
      <c r="Y130" s="3"/>
      <c r="Z130" s="3"/>
      <c r="AA130" s="3"/>
      <c r="AB130" s="3"/>
      <c r="AC130" s="3"/>
      <c r="AD130" s="3"/>
      <c r="AE130" s="19"/>
      <c r="AF130" s="19"/>
      <c r="AG130" s="19"/>
      <c r="AH130" s="19"/>
      <c r="AI130" s="3">
        <f>AI131+AI132+AI133+AI134</f>
        <v>1.5200000000000002</v>
      </c>
      <c r="AJ130" s="19"/>
    </row>
    <row r="131" spans="1:36" ht="12.75">
      <c r="A131" s="313"/>
      <c r="B131" s="154" t="s">
        <v>744</v>
      </c>
      <c r="C131" s="23">
        <v>233.907</v>
      </c>
      <c r="D131" s="23"/>
      <c r="E131" s="23">
        <v>59.351</v>
      </c>
      <c r="F131" s="23">
        <v>174.556</v>
      </c>
      <c r="G131" s="3"/>
      <c r="H131" s="23">
        <v>233.907</v>
      </c>
      <c r="I131" s="23"/>
      <c r="J131" s="23">
        <v>59.351</v>
      </c>
      <c r="K131" s="23">
        <v>174.556</v>
      </c>
      <c r="L131" s="8"/>
      <c r="M131" s="23"/>
      <c r="N131" s="8"/>
      <c r="O131" s="8"/>
      <c r="P131" s="8"/>
      <c r="Q131" s="8"/>
      <c r="R131" s="23">
        <v>233.907</v>
      </c>
      <c r="S131" s="23"/>
      <c r="T131" s="23">
        <v>59.351</v>
      </c>
      <c r="U131" s="23">
        <v>174.556</v>
      </c>
      <c r="V131" s="8"/>
      <c r="W131" s="8"/>
      <c r="X131" s="8"/>
      <c r="Y131" s="8"/>
      <c r="Z131" s="8"/>
      <c r="AA131" s="8"/>
      <c r="AB131" s="8"/>
      <c r="AC131" s="8"/>
      <c r="AD131" s="8"/>
      <c r="AE131" s="10">
        <v>2011</v>
      </c>
      <c r="AF131" s="10">
        <v>15</v>
      </c>
      <c r="AG131" s="10" t="s">
        <v>916</v>
      </c>
      <c r="AH131" s="6" t="s">
        <v>942</v>
      </c>
      <c r="AI131" s="10">
        <v>0.5</v>
      </c>
      <c r="AJ131" s="10"/>
    </row>
    <row r="132" spans="1:36" ht="12.75">
      <c r="A132" s="313"/>
      <c r="B132" s="154" t="s">
        <v>745</v>
      </c>
      <c r="C132" s="23">
        <v>144.468</v>
      </c>
      <c r="D132" s="23"/>
      <c r="E132" s="23">
        <v>37.161</v>
      </c>
      <c r="F132" s="23">
        <v>107.307</v>
      </c>
      <c r="G132" s="3"/>
      <c r="H132" s="23">
        <v>144.468</v>
      </c>
      <c r="I132" s="23"/>
      <c r="J132" s="23">
        <v>37.161</v>
      </c>
      <c r="K132" s="23">
        <v>107.307</v>
      </c>
      <c r="L132" s="8"/>
      <c r="M132" s="23"/>
      <c r="N132" s="8"/>
      <c r="O132" s="8"/>
      <c r="P132" s="8"/>
      <c r="Q132" s="8"/>
      <c r="R132" s="23">
        <v>144.468</v>
      </c>
      <c r="S132" s="23"/>
      <c r="T132" s="23">
        <v>37.161</v>
      </c>
      <c r="U132" s="23">
        <v>107.307</v>
      </c>
      <c r="V132" s="8"/>
      <c r="W132" s="8"/>
      <c r="X132" s="8"/>
      <c r="Y132" s="8"/>
      <c r="Z132" s="8"/>
      <c r="AA132" s="8"/>
      <c r="AB132" s="8"/>
      <c r="AC132" s="8"/>
      <c r="AD132" s="8"/>
      <c r="AE132" s="10">
        <v>2011</v>
      </c>
      <c r="AF132" s="10">
        <v>15</v>
      </c>
      <c r="AG132" s="10" t="s">
        <v>916</v>
      </c>
      <c r="AH132" s="6" t="s">
        <v>942</v>
      </c>
      <c r="AI132" s="10">
        <v>0.32</v>
      </c>
      <c r="AJ132" s="10"/>
    </row>
    <row r="133" spans="1:36" ht="12.75">
      <c r="A133" s="313"/>
      <c r="B133" s="154" t="s">
        <v>746</v>
      </c>
      <c r="C133" s="8">
        <v>186</v>
      </c>
      <c r="D133" s="8"/>
      <c r="E133" s="23">
        <v>50.327</v>
      </c>
      <c r="F133" s="23">
        <v>135.673</v>
      </c>
      <c r="G133" s="3"/>
      <c r="H133" s="8">
        <v>186</v>
      </c>
      <c r="I133" s="8"/>
      <c r="J133" s="23">
        <v>50.327</v>
      </c>
      <c r="K133" s="23">
        <v>135.673</v>
      </c>
      <c r="L133" s="8"/>
      <c r="M133" s="23"/>
      <c r="N133" s="8"/>
      <c r="O133" s="8"/>
      <c r="P133" s="8"/>
      <c r="Q133" s="8"/>
      <c r="R133" s="8">
        <v>186</v>
      </c>
      <c r="S133" s="8"/>
      <c r="T133" s="23">
        <v>50.327</v>
      </c>
      <c r="U133" s="23">
        <v>135.673</v>
      </c>
      <c r="V133" s="8"/>
      <c r="W133" s="8"/>
      <c r="X133" s="8"/>
      <c r="Y133" s="8"/>
      <c r="Z133" s="8"/>
      <c r="AA133" s="8"/>
      <c r="AB133" s="8"/>
      <c r="AC133" s="8"/>
      <c r="AD133" s="8"/>
      <c r="AE133" s="10">
        <v>2011</v>
      </c>
      <c r="AF133" s="10">
        <v>15</v>
      </c>
      <c r="AG133" s="10" t="s">
        <v>916</v>
      </c>
      <c r="AH133" s="6" t="s">
        <v>942</v>
      </c>
      <c r="AI133" s="10">
        <v>0.4</v>
      </c>
      <c r="AJ133" s="10"/>
    </row>
    <row r="134" spans="1:36" ht="12.75">
      <c r="A134" s="313"/>
      <c r="B134" s="154" t="s">
        <v>747</v>
      </c>
      <c r="C134" s="23">
        <v>119.524</v>
      </c>
      <c r="D134" s="23"/>
      <c r="E134" s="23">
        <v>30.882999999999996</v>
      </c>
      <c r="F134" s="23">
        <v>88.641</v>
      </c>
      <c r="G134" s="3"/>
      <c r="H134" s="23">
        <v>119.524</v>
      </c>
      <c r="I134" s="23"/>
      <c r="J134" s="23">
        <v>30.882999999999996</v>
      </c>
      <c r="K134" s="23">
        <v>88.641</v>
      </c>
      <c r="L134" s="8"/>
      <c r="M134" s="23"/>
      <c r="N134" s="8"/>
      <c r="O134" s="8"/>
      <c r="P134" s="8"/>
      <c r="Q134" s="8"/>
      <c r="R134" s="23">
        <v>119.524</v>
      </c>
      <c r="S134" s="23"/>
      <c r="T134" s="23">
        <v>30.882999999999996</v>
      </c>
      <c r="U134" s="23">
        <v>88.641</v>
      </c>
      <c r="V134" s="8"/>
      <c r="W134" s="8"/>
      <c r="X134" s="8"/>
      <c r="Y134" s="8"/>
      <c r="Z134" s="8"/>
      <c r="AA134" s="8"/>
      <c r="AB134" s="8"/>
      <c r="AC134" s="8"/>
      <c r="AD134" s="8"/>
      <c r="AE134" s="10">
        <v>2011</v>
      </c>
      <c r="AF134" s="10">
        <v>15</v>
      </c>
      <c r="AG134" s="10" t="s">
        <v>916</v>
      </c>
      <c r="AH134" s="6" t="s">
        <v>942</v>
      </c>
      <c r="AI134" s="10">
        <v>0.3</v>
      </c>
      <c r="AJ134" s="10"/>
    </row>
    <row r="135" spans="1:36" ht="12.75">
      <c r="A135" s="313"/>
      <c r="B135" s="154" t="s">
        <v>748</v>
      </c>
      <c r="C135" s="23">
        <v>521.851</v>
      </c>
      <c r="D135" s="23">
        <v>106</v>
      </c>
      <c r="E135" s="23">
        <v>166.326</v>
      </c>
      <c r="F135" s="23">
        <v>249.525</v>
      </c>
      <c r="G135" s="3"/>
      <c r="H135" s="23">
        <f>I135+J135+K135</f>
        <v>546.0160000000001</v>
      </c>
      <c r="I135" s="23">
        <v>106.522</v>
      </c>
      <c r="J135" s="23">
        <v>122.50900000000001</v>
      </c>
      <c r="K135" s="23">
        <v>316.985</v>
      </c>
      <c r="L135" s="8"/>
      <c r="M135" s="23"/>
      <c r="N135" s="8"/>
      <c r="O135" s="8"/>
      <c r="P135" s="8"/>
      <c r="Q135" s="8"/>
      <c r="R135" s="23">
        <f>S135+T135+U135</f>
        <v>546.0160000000001</v>
      </c>
      <c r="S135" s="23">
        <v>106.522</v>
      </c>
      <c r="T135" s="23">
        <v>122.50900000000001</v>
      </c>
      <c r="U135" s="23">
        <v>316.985</v>
      </c>
      <c r="V135" s="8"/>
      <c r="W135" s="8"/>
      <c r="X135" s="8"/>
      <c r="Y135" s="8"/>
      <c r="Z135" s="8"/>
      <c r="AA135" s="8"/>
      <c r="AB135" s="8"/>
      <c r="AC135" s="8"/>
      <c r="AD135" s="8"/>
      <c r="AE135" s="10">
        <v>2011</v>
      </c>
      <c r="AF135" s="10">
        <v>15</v>
      </c>
      <c r="AG135" s="10" t="s">
        <v>916</v>
      </c>
      <c r="AH135" s="6" t="s">
        <v>942</v>
      </c>
      <c r="AI135" s="10">
        <v>1.5</v>
      </c>
      <c r="AJ135" s="10"/>
    </row>
    <row r="136" spans="1:36" ht="12.75">
      <c r="A136" s="313"/>
      <c r="B136" s="154" t="s">
        <v>749</v>
      </c>
      <c r="C136" s="23">
        <f>D136+E136+F136</f>
        <v>250.811</v>
      </c>
      <c r="D136" s="34">
        <v>56</v>
      </c>
      <c r="E136" s="23">
        <v>46.011</v>
      </c>
      <c r="F136" s="23">
        <v>148.8</v>
      </c>
      <c r="G136" s="3"/>
      <c r="H136" s="23">
        <f>I136+J136+K136</f>
        <v>250.81</v>
      </c>
      <c r="I136" s="23">
        <v>55.999</v>
      </c>
      <c r="J136" s="23">
        <v>46.035</v>
      </c>
      <c r="K136" s="23">
        <v>148.776</v>
      </c>
      <c r="L136" s="8"/>
      <c r="M136" s="23"/>
      <c r="N136" s="8"/>
      <c r="O136" s="8"/>
      <c r="P136" s="8"/>
      <c r="Q136" s="8"/>
      <c r="R136" s="23">
        <f>S136+T136+U136</f>
        <v>250.81</v>
      </c>
      <c r="S136" s="23">
        <v>55.999</v>
      </c>
      <c r="T136" s="23">
        <v>46.035</v>
      </c>
      <c r="U136" s="23">
        <v>148.776</v>
      </c>
      <c r="V136" s="8"/>
      <c r="W136" s="8"/>
      <c r="X136" s="8"/>
      <c r="Y136" s="8"/>
      <c r="Z136" s="8"/>
      <c r="AA136" s="8"/>
      <c r="AB136" s="8"/>
      <c r="AC136" s="8"/>
      <c r="AD136" s="8"/>
      <c r="AE136" s="10">
        <v>2011</v>
      </c>
      <c r="AF136" s="10">
        <v>15</v>
      </c>
      <c r="AG136" s="10" t="s">
        <v>916</v>
      </c>
      <c r="AH136" s="6" t="s">
        <v>942</v>
      </c>
      <c r="AI136" s="10">
        <v>0.5</v>
      </c>
      <c r="AJ136" s="10"/>
    </row>
    <row r="137" spans="1:36" ht="12.75">
      <c r="A137" s="313"/>
      <c r="B137" s="154"/>
      <c r="C137" s="34"/>
      <c r="D137" s="300"/>
      <c r="E137" s="34"/>
      <c r="F137" s="34"/>
      <c r="G137" s="3"/>
      <c r="H137" s="23"/>
      <c r="I137" s="23"/>
      <c r="J137" s="23"/>
      <c r="K137" s="23"/>
      <c r="L137" s="8"/>
      <c r="M137" s="23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10"/>
      <c r="AF137" s="10"/>
      <c r="AG137" s="10"/>
      <c r="AH137" s="6"/>
      <c r="AI137" s="10"/>
      <c r="AJ137" s="10"/>
    </row>
    <row r="138" spans="1:36" s="20" customFormat="1" ht="12.75">
      <c r="A138" s="313"/>
      <c r="B138" s="240" t="s">
        <v>135</v>
      </c>
      <c r="C138" s="24">
        <f>C139</f>
        <v>612.6610000000001</v>
      </c>
      <c r="D138" s="24">
        <f>D139</f>
        <v>108</v>
      </c>
      <c r="E138" s="24">
        <f>E139</f>
        <v>108.47199999999998</v>
      </c>
      <c r="F138" s="24">
        <f>F139</f>
        <v>396.189</v>
      </c>
      <c r="G138" s="3"/>
      <c r="H138" s="24">
        <f>H139</f>
        <v>612.6610000000001</v>
      </c>
      <c r="I138" s="24">
        <f>I139</f>
        <v>108</v>
      </c>
      <c r="J138" s="24">
        <f>J139</f>
        <v>108.47199999999998</v>
      </c>
      <c r="K138" s="24">
        <f>K139</f>
        <v>396.189</v>
      </c>
      <c r="L138" s="3"/>
      <c r="M138" s="24"/>
      <c r="N138" s="3"/>
      <c r="O138" s="3"/>
      <c r="P138" s="3"/>
      <c r="Q138" s="3"/>
      <c r="R138" s="24">
        <f>R139</f>
        <v>612.6610000000001</v>
      </c>
      <c r="S138" s="24">
        <f>S139</f>
        <v>108</v>
      </c>
      <c r="T138" s="24">
        <f>T139</f>
        <v>108.47199999999998</v>
      </c>
      <c r="U138" s="24">
        <f>U139</f>
        <v>396.189</v>
      </c>
      <c r="V138" s="3"/>
      <c r="W138" s="3"/>
      <c r="X138" s="3"/>
      <c r="Y138" s="3"/>
      <c r="Z138" s="3"/>
      <c r="AA138" s="3"/>
      <c r="AB138" s="3"/>
      <c r="AC138" s="3"/>
      <c r="AD138" s="3"/>
      <c r="AE138" s="10"/>
      <c r="AF138" s="10"/>
      <c r="AG138" s="10"/>
      <c r="AH138" s="6"/>
      <c r="AI138" s="299"/>
      <c r="AJ138" s="19"/>
    </row>
    <row r="139" spans="1:36" ht="31.5" customHeight="1">
      <c r="A139" s="313"/>
      <c r="B139" s="154" t="s">
        <v>750</v>
      </c>
      <c r="C139" s="23">
        <f>D139+E139+F139</f>
        <v>612.6610000000001</v>
      </c>
      <c r="D139" s="8">
        <v>108</v>
      </c>
      <c r="E139" s="23">
        <v>108.47199999999998</v>
      </c>
      <c r="F139" s="23">
        <v>396.189</v>
      </c>
      <c r="G139" s="8"/>
      <c r="H139" s="23">
        <f>I139+J139+K139</f>
        <v>612.6610000000001</v>
      </c>
      <c r="I139" s="8">
        <v>108</v>
      </c>
      <c r="J139" s="23">
        <v>108.47199999999998</v>
      </c>
      <c r="K139" s="23">
        <v>396.189</v>
      </c>
      <c r="L139" s="8"/>
      <c r="M139" s="23"/>
      <c r="N139" s="8"/>
      <c r="O139" s="8"/>
      <c r="P139" s="8"/>
      <c r="Q139" s="8"/>
      <c r="R139" s="23">
        <f>S139+T139+U139</f>
        <v>612.6610000000001</v>
      </c>
      <c r="S139" s="8">
        <v>108</v>
      </c>
      <c r="T139" s="23">
        <v>108.47199999999998</v>
      </c>
      <c r="U139" s="23">
        <v>396.189</v>
      </c>
      <c r="V139" s="8"/>
      <c r="W139" s="8"/>
      <c r="X139" s="8"/>
      <c r="Y139" s="8"/>
      <c r="Z139" s="8"/>
      <c r="AA139" s="8"/>
      <c r="AB139" s="8"/>
      <c r="AC139" s="8"/>
      <c r="AD139" s="8"/>
      <c r="AE139" s="10">
        <v>2011</v>
      </c>
      <c r="AF139" s="10">
        <v>15</v>
      </c>
      <c r="AG139" s="10" t="s">
        <v>916</v>
      </c>
      <c r="AH139" s="6" t="s">
        <v>942</v>
      </c>
      <c r="AI139" s="299">
        <v>1.191</v>
      </c>
      <c r="AJ139" s="10"/>
    </row>
    <row r="140" spans="1:36" s="20" customFormat="1" ht="12.75">
      <c r="A140" s="313"/>
      <c r="B140" s="240" t="s">
        <v>47</v>
      </c>
      <c r="C140" s="24">
        <f>C142+C143+C144+C145+C146+C147+C148+C149+C150+C151+C152</f>
        <v>4298.204</v>
      </c>
      <c r="D140" s="24">
        <f>D142+D143+D144+D145+D146+D147+D148+D149+D150+D151+D152</f>
        <v>682.481</v>
      </c>
      <c r="E140" s="24">
        <f>E142+E143+E144+E145+E146+E147+E148+E149+E150+E151+E152</f>
        <v>848.524</v>
      </c>
      <c r="F140" s="24">
        <f>F142+F143+F144+F145+F146+F147+F148+F149+F150+F151+F152</f>
        <v>2767.199</v>
      </c>
      <c r="G140" s="24"/>
      <c r="H140" s="24">
        <f>H142+H143+H144+H145+H146+H147+H148+H149+H150+H151+H152</f>
        <v>4371.709</v>
      </c>
      <c r="I140" s="24">
        <f>I142+I143+I144+I145+I146+I147+I148+I149+I150+I151+I152</f>
        <v>686.537</v>
      </c>
      <c r="J140" s="24">
        <f>J142+J143+J144+J145+J146+J147+J148+J149+J150+J151+J152</f>
        <v>790.446</v>
      </c>
      <c r="K140" s="24">
        <f>K142+K143+K144+K145+K146+K147+K148+K149+K150+K151+K152</f>
        <v>2894.726</v>
      </c>
      <c r="L140" s="24"/>
      <c r="M140" s="24"/>
      <c r="N140" s="24"/>
      <c r="O140" s="24"/>
      <c r="P140" s="24"/>
      <c r="Q140" s="24"/>
      <c r="R140" s="24">
        <f>R142+R143+R144+R145+R146+R147+R148+R149+R150+R151+R152</f>
        <v>4371.709</v>
      </c>
      <c r="S140" s="24">
        <f>S142+S143+S144+S145+S146+S147+S148+S149+S150+S151+S152</f>
        <v>686.537</v>
      </c>
      <c r="T140" s="24">
        <f>T142+T143+T144+T145+T146+T147+T148+T149+T150+T151+T152</f>
        <v>790.446</v>
      </c>
      <c r="U140" s="24">
        <f>U142+U143+U144+U145+U146+U147+U148+U149+U150+U151+U152</f>
        <v>2894.726</v>
      </c>
      <c r="V140" s="3"/>
      <c r="W140" s="3"/>
      <c r="X140" s="3"/>
      <c r="Y140" s="3"/>
      <c r="Z140" s="3"/>
      <c r="AA140" s="3"/>
      <c r="AB140" s="3"/>
      <c r="AC140" s="3"/>
      <c r="AD140" s="3"/>
      <c r="AE140" s="19"/>
      <c r="AF140" s="19"/>
      <c r="AG140" s="19"/>
      <c r="AH140" s="19"/>
      <c r="AI140" s="19"/>
      <c r="AJ140" s="19"/>
    </row>
    <row r="141" spans="1:36" ht="12.75">
      <c r="A141" s="313"/>
      <c r="B141" s="40" t="s">
        <v>727</v>
      </c>
      <c r="C141" s="8"/>
      <c r="D141" s="8"/>
      <c r="E141" s="8"/>
      <c r="F141" s="3"/>
      <c r="G141" s="3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10"/>
      <c r="AF141" s="10"/>
      <c r="AG141" s="10"/>
      <c r="AH141" s="10"/>
      <c r="AI141" s="10"/>
      <c r="AJ141" s="10"/>
    </row>
    <row r="142" spans="1:36" ht="12.75">
      <c r="A142" s="313"/>
      <c r="B142" s="154" t="s">
        <v>751</v>
      </c>
      <c r="C142" s="23">
        <v>125.493</v>
      </c>
      <c r="D142" s="23"/>
      <c r="E142" s="23">
        <v>31.616</v>
      </c>
      <c r="F142" s="23">
        <v>93.877</v>
      </c>
      <c r="G142" s="3"/>
      <c r="H142" s="23">
        <v>125.493</v>
      </c>
      <c r="I142" s="23"/>
      <c r="J142" s="23">
        <v>31.616</v>
      </c>
      <c r="K142" s="23">
        <v>93.877</v>
      </c>
      <c r="L142" s="8"/>
      <c r="M142" s="23"/>
      <c r="N142" s="8"/>
      <c r="O142" s="8"/>
      <c r="P142" s="8"/>
      <c r="Q142" s="8"/>
      <c r="R142" s="23">
        <f aca="true" t="shared" si="10" ref="R142:R152">S142+T142+U142</f>
        <v>125.493</v>
      </c>
      <c r="S142" s="23"/>
      <c r="T142" s="23">
        <v>31.616</v>
      </c>
      <c r="U142" s="23">
        <v>93.877</v>
      </c>
      <c r="V142" s="8"/>
      <c r="W142" s="8"/>
      <c r="X142" s="8"/>
      <c r="Y142" s="8"/>
      <c r="Z142" s="8"/>
      <c r="AA142" s="8"/>
      <c r="AB142" s="8"/>
      <c r="AC142" s="8"/>
      <c r="AD142" s="8"/>
      <c r="AE142" s="10">
        <v>2011</v>
      </c>
      <c r="AF142" s="10">
        <v>15</v>
      </c>
      <c r="AG142" s="10" t="s">
        <v>916</v>
      </c>
      <c r="AH142" s="6" t="s">
        <v>942</v>
      </c>
      <c r="AI142" s="10">
        <v>0.25</v>
      </c>
      <c r="AJ142" s="10"/>
    </row>
    <row r="143" spans="1:36" ht="12.75">
      <c r="A143" s="313"/>
      <c r="B143" s="154" t="s">
        <v>752</v>
      </c>
      <c r="C143" s="23">
        <v>176.32</v>
      </c>
      <c r="D143" s="23"/>
      <c r="E143" s="23">
        <v>47.673</v>
      </c>
      <c r="F143" s="23">
        <v>128.647</v>
      </c>
      <c r="G143" s="3"/>
      <c r="H143" s="23">
        <v>176.32</v>
      </c>
      <c r="I143" s="23"/>
      <c r="J143" s="23">
        <v>47.673</v>
      </c>
      <c r="K143" s="23">
        <v>128.647</v>
      </c>
      <c r="L143" s="8"/>
      <c r="M143" s="23"/>
      <c r="N143" s="8"/>
      <c r="O143" s="8"/>
      <c r="P143" s="8"/>
      <c r="Q143" s="8"/>
      <c r="R143" s="23">
        <f t="shared" si="10"/>
        <v>176.32</v>
      </c>
      <c r="S143" s="23"/>
      <c r="T143" s="23">
        <v>47.673</v>
      </c>
      <c r="U143" s="23">
        <v>128.647</v>
      </c>
      <c r="V143" s="8"/>
      <c r="W143" s="8"/>
      <c r="X143" s="8"/>
      <c r="Y143" s="8"/>
      <c r="Z143" s="8"/>
      <c r="AA143" s="8"/>
      <c r="AB143" s="8"/>
      <c r="AC143" s="8"/>
      <c r="AD143" s="8"/>
      <c r="AE143" s="10">
        <v>2011</v>
      </c>
      <c r="AF143" s="10">
        <v>15</v>
      </c>
      <c r="AG143" s="10" t="s">
        <v>916</v>
      </c>
      <c r="AH143" s="6" t="s">
        <v>942</v>
      </c>
      <c r="AI143" s="10">
        <v>0.51</v>
      </c>
      <c r="AJ143" s="10"/>
    </row>
    <row r="144" spans="1:36" ht="12.75">
      <c r="A144" s="313"/>
      <c r="B144" s="154" t="s">
        <v>753</v>
      </c>
      <c r="C144" s="23">
        <v>481.22</v>
      </c>
      <c r="D144" s="23">
        <v>84.481</v>
      </c>
      <c r="E144" s="23">
        <v>97.02699999999999</v>
      </c>
      <c r="F144" s="23">
        <v>299.712</v>
      </c>
      <c r="G144" s="3"/>
      <c r="H144" s="23">
        <v>481.22</v>
      </c>
      <c r="I144" s="23">
        <v>84.481</v>
      </c>
      <c r="J144" s="23">
        <v>97.02699999999999</v>
      </c>
      <c r="K144" s="23">
        <v>299.712</v>
      </c>
      <c r="L144" s="8"/>
      <c r="M144" s="23"/>
      <c r="N144" s="8"/>
      <c r="O144" s="8"/>
      <c r="P144" s="8"/>
      <c r="Q144" s="8"/>
      <c r="R144" s="23">
        <f t="shared" si="10"/>
        <v>481.21999999999997</v>
      </c>
      <c r="S144" s="23">
        <v>84.481</v>
      </c>
      <c r="T144" s="23">
        <v>97.02699999999999</v>
      </c>
      <c r="U144" s="23">
        <v>299.712</v>
      </c>
      <c r="V144" s="8"/>
      <c r="W144" s="8"/>
      <c r="X144" s="8"/>
      <c r="Y144" s="8"/>
      <c r="Z144" s="8"/>
      <c r="AA144" s="8"/>
      <c r="AB144" s="8"/>
      <c r="AC144" s="8"/>
      <c r="AD144" s="8"/>
      <c r="AE144" s="10">
        <v>2011</v>
      </c>
      <c r="AF144" s="10">
        <v>15</v>
      </c>
      <c r="AG144" s="10" t="s">
        <v>916</v>
      </c>
      <c r="AH144" s="6" t="s">
        <v>942</v>
      </c>
      <c r="AI144" s="10">
        <v>0.96</v>
      </c>
      <c r="AJ144" s="10"/>
    </row>
    <row r="145" spans="1:36" ht="12.75">
      <c r="A145" s="313"/>
      <c r="B145" s="154" t="s">
        <v>754</v>
      </c>
      <c r="C145" s="23">
        <v>327.143</v>
      </c>
      <c r="D145" s="23"/>
      <c r="E145" s="23">
        <v>34.438999999999965</v>
      </c>
      <c r="F145" s="23">
        <v>292.704</v>
      </c>
      <c r="G145" s="3"/>
      <c r="H145" s="23">
        <v>327.143</v>
      </c>
      <c r="I145" s="23"/>
      <c r="J145" s="23">
        <v>34.438999999999965</v>
      </c>
      <c r="K145" s="23">
        <v>292.704</v>
      </c>
      <c r="L145" s="8"/>
      <c r="M145" s="23"/>
      <c r="N145" s="8"/>
      <c r="O145" s="8"/>
      <c r="P145" s="8"/>
      <c r="Q145" s="8"/>
      <c r="R145" s="23">
        <f t="shared" si="10"/>
        <v>327.143</v>
      </c>
      <c r="S145" s="23"/>
      <c r="T145" s="23">
        <v>34.438999999999965</v>
      </c>
      <c r="U145" s="23">
        <v>292.704</v>
      </c>
      <c r="V145" s="8"/>
      <c r="W145" s="8"/>
      <c r="X145" s="8"/>
      <c r="Y145" s="8"/>
      <c r="Z145" s="8"/>
      <c r="AA145" s="8"/>
      <c r="AB145" s="8"/>
      <c r="AC145" s="8"/>
      <c r="AD145" s="8"/>
      <c r="AE145" s="10">
        <v>2011</v>
      </c>
      <c r="AF145" s="10">
        <v>15</v>
      </c>
      <c r="AG145" s="10" t="s">
        <v>950</v>
      </c>
      <c r="AH145" s="6" t="s">
        <v>951</v>
      </c>
      <c r="AI145" s="10">
        <v>0.4</v>
      </c>
      <c r="AJ145" s="10"/>
    </row>
    <row r="146" spans="1:36" ht="45" customHeight="1">
      <c r="A146" s="313"/>
      <c r="B146" s="13" t="s">
        <v>138</v>
      </c>
      <c r="C146" s="167">
        <v>601.155</v>
      </c>
      <c r="D146" s="34">
        <v>110</v>
      </c>
      <c r="E146" s="23">
        <v>108.327</v>
      </c>
      <c r="F146" s="23">
        <v>382.828</v>
      </c>
      <c r="G146" s="3"/>
      <c r="H146" s="23">
        <v>601.1869999999999</v>
      </c>
      <c r="I146" s="23">
        <v>110.032</v>
      </c>
      <c r="J146" s="23">
        <v>108.327</v>
      </c>
      <c r="K146" s="23">
        <v>382.828</v>
      </c>
      <c r="L146" s="8"/>
      <c r="M146" s="23"/>
      <c r="N146" s="8"/>
      <c r="O146" s="8"/>
      <c r="P146" s="8"/>
      <c r="Q146" s="8"/>
      <c r="R146" s="23">
        <f t="shared" si="10"/>
        <v>601.1869999999999</v>
      </c>
      <c r="S146" s="23">
        <v>110.032</v>
      </c>
      <c r="T146" s="23">
        <v>108.327</v>
      </c>
      <c r="U146" s="23">
        <v>382.828</v>
      </c>
      <c r="V146" s="8"/>
      <c r="W146" s="8"/>
      <c r="X146" s="8"/>
      <c r="Y146" s="8"/>
      <c r="Z146" s="8"/>
      <c r="AA146" s="8"/>
      <c r="AB146" s="8"/>
      <c r="AC146" s="8"/>
      <c r="AD146" s="8"/>
      <c r="AE146" s="10">
        <v>2011</v>
      </c>
      <c r="AF146" s="10">
        <v>15</v>
      </c>
      <c r="AG146" s="10" t="s">
        <v>916</v>
      </c>
      <c r="AH146" s="6" t="s">
        <v>942</v>
      </c>
      <c r="AI146" s="10">
        <v>1.02</v>
      </c>
      <c r="AJ146" s="10"/>
    </row>
    <row r="147" spans="1:36" ht="47.25" customHeight="1">
      <c r="A147" s="313"/>
      <c r="B147" s="13" t="s">
        <v>142</v>
      </c>
      <c r="C147" s="167">
        <v>348.228</v>
      </c>
      <c r="D147" s="34">
        <v>73</v>
      </c>
      <c r="E147" s="23">
        <v>62.458</v>
      </c>
      <c r="F147" s="23">
        <v>212.77</v>
      </c>
      <c r="G147" s="3"/>
      <c r="H147" s="23">
        <v>352.231</v>
      </c>
      <c r="I147" s="23">
        <v>77.003</v>
      </c>
      <c r="J147" s="23">
        <v>62.458</v>
      </c>
      <c r="K147" s="23">
        <v>212.77</v>
      </c>
      <c r="L147" s="8"/>
      <c r="M147" s="23"/>
      <c r="N147" s="8"/>
      <c r="O147" s="8"/>
      <c r="P147" s="8"/>
      <c r="Q147" s="8"/>
      <c r="R147" s="23">
        <f t="shared" si="10"/>
        <v>352.231</v>
      </c>
      <c r="S147" s="23">
        <v>77.003</v>
      </c>
      <c r="T147" s="23">
        <v>62.458</v>
      </c>
      <c r="U147" s="23">
        <v>212.77</v>
      </c>
      <c r="V147" s="8"/>
      <c r="W147" s="8"/>
      <c r="X147" s="8"/>
      <c r="Y147" s="8"/>
      <c r="Z147" s="8"/>
      <c r="AA147" s="8"/>
      <c r="AB147" s="8"/>
      <c r="AC147" s="8"/>
      <c r="AD147" s="8"/>
      <c r="AE147" s="10">
        <v>2011</v>
      </c>
      <c r="AF147" s="10">
        <v>15</v>
      </c>
      <c r="AG147" s="10" t="s">
        <v>916</v>
      </c>
      <c r="AH147" s="6" t="s">
        <v>942</v>
      </c>
      <c r="AI147" s="10">
        <v>0.67</v>
      </c>
      <c r="AJ147" s="10"/>
    </row>
    <row r="148" spans="1:36" ht="45.75" customHeight="1">
      <c r="A148" s="313"/>
      <c r="B148" s="13" t="s">
        <v>143</v>
      </c>
      <c r="C148" s="167">
        <v>373.603</v>
      </c>
      <c r="D148" s="34">
        <v>68</v>
      </c>
      <c r="E148" s="23">
        <v>71.686</v>
      </c>
      <c r="F148" s="23">
        <v>233.917</v>
      </c>
      <c r="G148" s="3"/>
      <c r="H148" s="23">
        <v>373.603</v>
      </c>
      <c r="I148" s="23">
        <v>68</v>
      </c>
      <c r="J148" s="23">
        <v>71.686</v>
      </c>
      <c r="K148" s="23">
        <v>233.917</v>
      </c>
      <c r="L148" s="8"/>
      <c r="M148" s="23"/>
      <c r="N148" s="8"/>
      <c r="O148" s="8"/>
      <c r="P148" s="8"/>
      <c r="Q148" s="8"/>
      <c r="R148" s="23">
        <f t="shared" si="10"/>
        <v>373.603</v>
      </c>
      <c r="S148" s="23">
        <v>68</v>
      </c>
      <c r="T148" s="23">
        <v>71.686</v>
      </c>
      <c r="U148" s="23">
        <v>233.917</v>
      </c>
      <c r="V148" s="8"/>
      <c r="W148" s="8"/>
      <c r="X148" s="8"/>
      <c r="Y148" s="8"/>
      <c r="Z148" s="8"/>
      <c r="AA148" s="8"/>
      <c r="AB148" s="8"/>
      <c r="AC148" s="8"/>
      <c r="AD148" s="8"/>
      <c r="AE148" s="10">
        <v>2011</v>
      </c>
      <c r="AF148" s="10">
        <v>15</v>
      </c>
      <c r="AG148" s="10" t="s">
        <v>916</v>
      </c>
      <c r="AH148" s="6" t="s">
        <v>942</v>
      </c>
      <c r="AI148" s="10">
        <v>0.82</v>
      </c>
      <c r="AJ148" s="10"/>
    </row>
    <row r="149" spans="1:36" ht="47.25" customHeight="1">
      <c r="A149" s="313"/>
      <c r="B149" s="13" t="s">
        <v>755</v>
      </c>
      <c r="C149" s="167">
        <v>461.768</v>
      </c>
      <c r="D149" s="34">
        <v>81</v>
      </c>
      <c r="E149" s="23">
        <v>85.45399999999995</v>
      </c>
      <c r="F149" s="23">
        <v>295.314</v>
      </c>
      <c r="G149" s="3"/>
      <c r="H149" s="23">
        <v>461.77</v>
      </c>
      <c r="I149" s="23">
        <v>81.002</v>
      </c>
      <c r="J149" s="23">
        <v>85.45399999999995</v>
      </c>
      <c r="K149" s="23">
        <v>295.314</v>
      </c>
      <c r="L149" s="8"/>
      <c r="M149" s="23"/>
      <c r="N149" s="8"/>
      <c r="O149" s="8"/>
      <c r="P149" s="8"/>
      <c r="Q149" s="8"/>
      <c r="R149" s="23">
        <f t="shared" si="10"/>
        <v>461.77</v>
      </c>
      <c r="S149" s="23">
        <v>81.002</v>
      </c>
      <c r="T149" s="23">
        <v>85.45399999999995</v>
      </c>
      <c r="U149" s="23">
        <v>295.314</v>
      </c>
      <c r="V149" s="8"/>
      <c r="W149" s="8"/>
      <c r="X149" s="8"/>
      <c r="Y149" s="8"/>
      <c r="Z149" s="8"/>
      <c r="AA149" s="8"/>
      <c r="AB149" s="8"/>
      <c r="AC149" s="8"/>
      <c r="AD149" s="8"/>
      <c r="AE149" s="10">
        <v>2011</v>
      </c>
      <c r="AF149" s="10">
        <v>15</v>
      </c>
      <c r="AG149" s="10" t="s">
        <v>916</v>
      </c>
      <c r="AH149" s="6" t="s">
        <v>942</v>
      </c>
      <c r="AI149" s="10">
        <v>0.82</v>
      </c>
      <c r="AJ149" s="10"/>
    </row>
    <row r="150" spans="1:36" ht="90" customHeight="1">
      <c r="A150" s="313"/>
      <c r="B150" s="154" t="s">
        <v>756</v>
      </c>
      <c r="C150" s="23">
        <v>717.634</v>
      </c>
      <c r="D150" s="34">
        <v>150</v>
      </c>
      <c r="E150" s="23">
        <v>123.56700000000001</v>
      </c>
      <c r="F150" s="23">
        <v>444.067</v>
      </c>
      <c r="G150" s="3"/>
      <c r="H150" s="23">
        <v>717.634</v>
      </c>
      <c r="I150" s="23">
        <v>150</v>
      </c>
      <c r="J150" s="23">
        <v>123.56700000000001</v>
      </c>
      <c r="K150" s="23">
        <v>444.067</v>
      </c>
      <c r="L150" s="8"/>
      <c r="M150" s="23"/>
      <c r="N150" s="8"/>
      <c r="O150" s="8"/>
      <c r="P150" s="8"/>
      <c r="Q150" s="8"/>
      <c r="R150" s="23">
        <f t="shared" si="10"/>
        <v>717.634</v>
      </c>
      <c r="S150" s="23">
        <v>150</v>
      </c>
      <c r="T150" s="23">
        <v>123.56700000000001</v>
      </c>
      <c r="U150" s="23">
        <v>444.067</v>
      </c>
      <c r="V150" s="8"/>
      <c r="W150" s="8"/>
      <c r="X150" s="8"/>
      <c r="Y150" s="8"/>
      <c r="Z150" s="8"/>
      <c r="AA150" s="8"/>
      <c r="AB150" s="8"/>
      <c r="AC150" s="8"/>
      <c r="AD150" s="8"/>
      <c r="AE150" s="10">
        <v>2011</v>
      </c>
      <c r="AF150" s="10">
        <v>15</v>
      </c>
      <c r="AG150" s="10" t="s">
        <v>916</v>
      </c>
      <c r="AH150" s="6" t="s">
        <v>952</v>
      </c>
      <c r="AI150" s="10">
        <v>1.12</v>
      </c>
      <c r="AJ150" s="10"/>
    </row>
    <row r="151" spans="1:36" ht="43.5" customHeight="1">
      <c r="A151" s="313"/>
      <c r="B151" s="154" t="s">
        <v>757</v>
      </c>
      <c r="C151" s="23">
        <v>303.64</v>
      </c>
      <c r="D151" s="34">
        <v>44</v>
      </c>
      <c r="E151" s="23">
        <v>62.277</v>
      </c>
      <c r="F151" s="23">
        <v>197.363</v>
      </c>
      <c r="G151" s="3"/>
      <c r="H151" s="23">
        <v>303.658</v>
      </c>
      <c r="I151" s="23">
        <v>44.018</v>
      </c>
      <c r="J151" s="23">
        <v>62.277</v>
      </c>
      <c r="K151" s="23">
        <v>197.363</v>
      </c>
      <c r="L151" s="8"/>
      <c r="M151" s="23"/>
      <c r="N151" s="8"/>
      <c r="O151" s="8"/>
      <c r="P151" s="8"/>
      <c r="Q151" s="8"/>
      <c r="R151" s="23">
        <f t="shared" si="10"/>
        <v>303.658</v>
      </c>
      <c r="S151" s="23">
        <v>44.018</v>
      </c>
      <c r="T151" s="23">
        <v>62.277</v>
      </c>
      <c r="U151" s="23">
        <v>197.363</v>
      </c>
      <c r="V151" s="8"/>
      <c r="W151" s="8"/>
      <c r="X151" s="8"/>
      <c r="Y151" s="8"/>
      <c r="Z151" s="8"/>
      <c r="AA151" s="8"/>
      <c r="AB151" s="8"/>
      <c r="AC151" s="8"/>
      <c r="AD151" s="8"/>
      <c r="AE151" s="10">
        <v>2011</v>
      </c>
      <c r="AF151" s="10">
        <v>15</v>
      </c>
      <c r="AG151" s="10" t="s">
        <v>916</v>
      </c>
      <c r="AH151" s="6" t="s">
        <v>942</v>
      </c>
      <c r="AI151" s="10">
        <v>0.41</v>
      </c>
      <c r="AJ151" s="10"/>
    </row>
    <row r="152" spans="1:36" ht="43.5" customHeight="1">
      <c r="A152" s="313"/>
      <c r="B152" s="154" t="s">
        <v>758</v>
      </c>
      <c r="C152" s="34">
        <v>382</v>
      </c>
      <c r="D152" s="34">
        <v>72</v>
      </c>
      <c r="E152" s="28">
        <v>124</v>
      </c>
      <c r="F152" s="28">
        <v>186</v>
      </c>
      <c r="G152" s="3"/>
      <c r="H152" s="23">
        <v>451.45000000000005</v>
      </c>
      <c r="I152" s="23">
        <v>72.001</v>
      </c>
      <c r="J152" s="23">
        <v>65.92200000000003</v>
      </c>
      <c r="K152" s="23">
        <v>313.527</v>
      </c>
      <c r="L152" s="8"/>
      <c r="M152" s="23"/>
      <c r="N152" s="8"/>
      <c r="O152" s="8"/>
      <c r="P152" s="8"/>
      <c r="Q152" s="8"/>
      <c r="R152" s="23">
        <f t="shared" si="10"/>
        <v>451.45000000000005</v>
      </c>
      <c r="S152" s="23">
        <v>72.001</v>
      </c>
      <c r="T152" s="23">
        <v>65.92200000000003</v>
      </c>
      <c r="U152" s="23">
        <v>313.527</v>
      </c>
      <c r="V152" s="8"/>
      <c r="W152" s="8"/>
      <c r="X152" s="8"/>
      <c r="Y152" s="8"/>
      <c r="Z152" s="8"/>
      <c r="AA152" s="8"/>
      <c r="AB152" s="8"/>
      <c r="AC152" s="8"/>
      <c r="AD152" s="8"/>
      <c r="AE152" s="10">
        <v>2011</v>
      </c>
      <c r="AF152" s="10">
        <v>15</v>
      </c>
      <c r="AG152" s="10" t="s">
        <v>916</v>
      </c>
      <c r="AH152" s="6" t="s">
        <v>942</v>
      </c>
      <c r="AI152" s="10">
        <v>0.675</v>
      </c>
      <c r="AJ152" s="10"/>
    </row>
    <row r="153" spans="1:36" s="20" customFormat="1" ht="12.75">
      <c r="A153" s="40"/>
      <c r="B153" s="240" t="s">
        <v>145</v>
      </c>
      <c r="C153" s="24">
        <f>C155+C156+C159+C161+C162+C157</f>
        <v>1574.881</v>
      </c>
      <c r="D153" s="24">
        <f>D155+D156+D159+D161+D162+D157</f>
        <v>139.372</v>
      </c>
      <c r="E153" s="24">
        <f>E155+E156+E159+E161+E162+E157</f>
        <v>458.52</v>
      </c>
      <c r="F153" s="24">
        <f>F155+F156+F159+F161+F162+F157</f>
        <v>976.9889999999999</v>
      </c>
      <c r="G153" s="24"/>
      <c r="H153" s="24">
        <f>H155+H156+H159+H161+H162+H157</f>
        <v>1566.068</v>
      </c>
      <c r="I153" s="24"/>
      <c r="J153" s="24">
        <f>J155+J156+J159+J161+J162+J157</f>
        <v>384.88</v>
      </c>
      <c r="K153" s="24">
        <f>K155+K156+K159+K161+K162+K157</f>
        <v>1045.415</v>
      </c>
      <c r="L153" s="24"/>
      <c r="M153" s="24"/>
      <c r="N153" s="24"/>
      <c r="O153" s="24"/>
      <c r="P153" s="24"/>
      <c r="Q153" s="24"/>
      <c r="R153" s="24">
        <f>R155+R156+R159+R161+R162+R157</f>
        <v>1566.068</v>
      </c>
      <c r="S153" s="24"/>
      <c r="T153" s="24">
        <f>T155+T156+T159+T161+T162+T157</f>
        <v>384.88</v>
      </c>
      <c r="U153" s="24">
        <f>U155+U156+U159+U161+U162+U157</f>
        <v>1045.415</v>
      </c>
      <c r="V153" s="3"/>
      <c r="W153" s="3"/>
      <c r="X153" s="3"/>
      <c r="Y153" s="3"/>
      <c r="Z153" s="3"/>
      <c r="AA153" s="3"/>
      <c r="AB153" s="3"/>
      <c r="AC153" s="3"/>
      <c r="AD153" s="3"/>
      <c r="AE153" s="19"/>
      <c r="AF153" s="19"/>
      <c r="AG153" s="19"/>
      <c r="AH153" s="19"/>
      <c r="AI153" s="19"/>
      <c r="AJ153" s="19"/>
    </row>
    <row r="154" spans="1:36" ht="12.75">
      <c r="A154" s="194"/>
      <c r="B154" s="40" t="s">
        <v>759</v>
      </c>
      <c r="C154" s="8"/>
      <c r="D154" s="8"/>
      <c r="E154" s="8"/>
      <c r="F154" s="8"/>
      <c r="G154" s="3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10"/>
      <c r="AF154" s="10"/>
      <c r="AG154" s="10"/>
      <c r="AH154" s="10"/>
      <c r="AI154" s="10"/>
      <c r="AJ154" s="10"/>
    </row>
    <row r="155" spans="1:36" ht="12.75">
      <c r="A155" s="40"/>
      <c r="B155" s="154" t="s">
        <v>760</v>
      </c>
      <c r="C155" s="23">
        <v>260.251</v>
      </c>
      <c r="D155" s="23"/>
      <c r="E155" s="23">
        <v>83.46399999999997</v>
      </c>
      <c r="F155" s="23">
        <v>176.787</v>
      </c>
      <c r="G155" s="3"/>
      <c r="H155" s="23">
        <v>260.251</v>
      </c>
      <c r="I155" s="23"/>
      <c r="J155" s="23">
        <v>83.46399999999997</v>
      </c>
      <c r="K155" s="23">
        <v>176.787</v>
      </c>
      <c r="L155" s="8"/>
      <c r="M155" s="23"/>
      <c r="N155" s="8"/>
      <c r="O155" s="8"/>
      <c r="P155" s="8"/>
      <c r="Q155" s="8"/>
      <c r="R155" s="23">
        <v>260.251</v>
      </c>
      <c r="S155" s="23"/>
      <c r="T155" s="23">
        <v>83.46399999999997</v>
      </c>
      <c r="U155" s="23">
        <v>176.787</v>
      </c>
      <c r="V155" s="8"/>
      <c r="W155" s="8"/>
      <c r="X155" s="8"/>
      <c r="Y155" s="8"/>
      <c r="Z155" s="8"/>
      <c r="AA155" s="8"/>
      <c r="AB155" s="8"/>
      <c r="AC155" s="8"/>
      <c r="AD155" s="8"/>
      <c r="AE155" s="10">
        <v>2011</v>
      </c>
      <c r="AF155" s="10">
        <v>15</v>
      </c>
      <c r="AG155" s="10" t="s">
        <v>916</v>
      </c>
      <c r="AH155" s="6" t="s">
        <v>942</v>
      </c>
      <c r="AI155" s="10">
        <v>0.7</v>
      </c>
      <c r="AJ155" s="10"/>
    </row>
    <row r="156" spans="1:36" ht="12.75">
      <c r="A156" s="40"/>
      <c r="B156" s="154" t="s">
        <v>761</v>
      </c>
      <c r="C156" s="23">
        <f>D156+E156+F156</f>
        <v>343.03600000000006</v>
      </c>
      <c r="D156" s="23">
        <v>25.352</v>
      </c>
      <c r="E156" s="23">
        <v>112.03100000000003</v>
      </c>
      <c r="F156" s="23">
        <v>205.653</v>
      </c>
      <c r="G156" s="3"/>
      <c r="H156" s="23">
        <f>I156+J156+K156</f>
        <v>339.437</v>
      </c>
      <c r="I156" s="23">
        <v>21.753</v>
      </c>
      <c r="J156" s="23">
        <v>112.03100000000003</v>
      </c>
      <c r="K156" s="23">
        <v>205.653</v>
      </c>
      <c r="L156" s="8"/>
      <c r="M156" s="23"/>
      <c r="N156" s="8"/>
      <c r="O156" s="8"/>
      <c r="P156" s="8"/>
      <c r="Q156" s="8"/>
      <c r="R156" s="23">
        <f>S156+T156+U156</f>
        <v>339.437</v>
      </c>
      <c r="S156" s="23">
        <v>21.753</v>
      </c>
      <c r="T156" s="23">
        <v>112.03100000000003</v>
      </c>
      <c r="U156" s="23">
        <v>205.653</v>
      </c>
      <c r="V156" s="8"/>
      <c r="W156" s="8"/>
      <c r="X156" s="8"/>
      <c r="Y156" s="8"/>
      <c r="Z156" s="8"/>
      <c r="AA156" s="8"/>
      <c r="AB156" s="8"/>
      <c r="AC156" s="8"/>
      <c r="AD156" s="8"/>
      <c r="AE156" s="10">
        <v>2011</v>
      </c>
      <c r="AF156" s="10">
        <v>15</v>
      </c>
      <c r="AG156" s="10" t="s">
        <v>916</v>
      </c>
      <c r="AH156" s="6" t="s">
        <v>942</v>
      </c>
      <c r="AI156" s="10">
        <v>0.82</v>
      </c>
      <c r="AJ156" s="10"/>
    </row>
    <row r="157" spans="1:36" ht="12.75">
      <c r="A157" s="40"/>
      <c r="B157" s="154" t="s">
        <v>763</v>
      </c>
      <c r="C157" s="34">
        <f>D157+E157+F157</f>
        <v>240</v>
      </c>
      <c r="D157" s="34">
        <v>40</v>
      </c>
      <c r="E157" s="34">
        <v>80</v>
      </c>
      <c r="F157" s="34">
        <v>120</v>
      </c>
      <c r="G157" s="3"/>
      <c r="H157" s="23">
        <f>J157+K157+I157</f>
        <v>234.786</v>
      </c>
      <c r="I157" s="34">
        <v>40</v>
      </c>
      <c r="J157" s="23">
        <v>6.36</v>
      </c>
      <c r="K157" s="23">
        <v>188.426</v>
      </c>
      <c r="L157" s="8"/>
      <c r="M157" s="23"/>
      <c r="N157" s="8"/>
      <c r="O157" s="8"/>
      <c r="P157" s="8"/>
      <c r="Q157" s="8"/>
      <c r="R157" s="23">
        <f>T157+U157+S157</f>
        <v>234.786</v>
      </c>
      <c r="S157" s="34">
        <v>40</v>
      </c>
      <c r="T157" s="23">
        <f>3.965+1.628+0.767</f>
        <v>6.36</v>
      </c>
      <c r="U157" s="23">
        <v>188.426</v>
      </c>
      <c r="V157" s="8"/>
      <c r="W157" s="8"/>
      <c r="X157" s="8"/>
      <c r="Y157" s="8"/>
      <c r="Z157" s="8"/>
      <c r="AA157" s="10">
        <v>2011</v>
      </c>
      <c r="AB157" s="10">
        <v>15</v>
      </c>
      <c r="AC157" s="10">
        <v>1</v>
      </c>
      <c r="AD157" s="10">
        <v>0.063</v>
      </c>
      <c r="AE157" s="10"/>
      <c r="AF157" s="10"/>
      <c r="AG157" s="10"/>
      <c r="AH157" s="6"/>
      <c r="AI157" s="10"/>
      <c r="AJ157" s="10"/>
    </row>
    <row r="158" spans="1:36" ht="12.75">
      <c r="A158" s="40"/>
      <c r="B158" s="40" t="s">
        <v>764</v>
      </c>
      <c r="C158" s="28"/>
      <c r="D158" s="28"/>
      <c r="E158" s="28"/>
      <c r="F158" s="28"/>
      <c r="G158" s="3"/>
      <c r="H158" s="28"/>
      <c r="I158" s="28"/>
      <c r="J158" s="28"/>
      <c r="K158" s="28"/>
      <c r="L158" s="8"/>
      <c r="M158" s="28"/>
      <c r="N158" s="8"/>
      <c r="O158" s="8"/>
      <c r="P158" s="8"/>
      <c r="Q158" s="8"/>
      <c r="R158" s="28"/>
      <c r="S158" s="28"/>
      <c r="T158" s="28"/>
      <c r="U158" s="28"/>
      <c r="V158" s="8"/>
      <c r="W158" s="8"/>
      <c r="X158" s="8"/>
      <c r="Y158" s="8"/>
      <c r="Z158" s="8"/>
      <c r="AA158" s="8"/>
      <c r="AB158" s="8"/>
      <c r="AC158" s="8"/>
      <c r="AD158" s="8"/>
      <c r="AE158" s="10"/>
      <c r="AF158" s="10"/>
      <c r="AG158" s="10"/>
      <c r="AH158" s="6"/>
      <c r="AI158" s="10"/>
      <c r="AJ158" s="10"/>
    </row>
    <row r="159" spans="1:36" ht="12.75">
      <c r="A159" s="40"/>
      <c r="B159" s="154" t="s">
        <v>765</v>
      </c>
      <c r="C159" s="23">
        <v>350.731</v>
      </c>
      <c r="D159" s="8"/>
      <c r="E159" s="23">
        <v>100.112</v>
      </c>
      <c r="F159" s="23">
        <v>250.619</v>
      </c>
      <c r="G159" s="3"/>
      <c r="H159" s="23">
        <v>350.731</v>
      </c>
      <c r="I159" s="8"/>
      <c r="J159" s="23">
        <v>100.112</v>
      </c>
      <c r="K159" s="23">
        <v>250.619</v>
      </c>
      <c r="L159" s="8"/>
      <c r="M159" s="23"/>
      <c r="N159" s="8"/>
      <c r="O159" s="8"/>
      <c r="P159" s="8"/>
      <c r="Q159" s="8"/>
      <c r="R159" s="23">
        <v>350.731</v>
      </c>
      <c r="S159" s="8"/>
      <c r="T159" s="23">
        <v>100.112</v>
      </c>
      <c r="U159" s="23">
        <v>250.619</v>
      </c>
      <c r="V159" s="8"/>
      <c r="W159" s="8"/>
      <c r="X159" s="8"/>
      <c r="Y159" s="8"/>
      <c r="Z159" s="8"/>
      <c r="AA159" s="8"/>
      <c r="AB159" s="8"/>
      <c r="AC159" s="8"/>
      <c r="AD159" s="8"/>
      <c r="AE159" s="10">
        <v>2011</v>
      </c>
      <c r="AF159" s="10">
        <v>15</v>
      </c>
      <c r="AG159" s="10" t="s">
        <v>916</v>
      </c>
      <c r="AH159" s="6" t="s">
        <v>942</v>
      </c>
      <c r="AI159" s="10">
        <v>1.05</v>
      </c>
      <c r="AJ159" s="10"/>
    </row>
    <row r="160" spans="1:36" ht="12.75">
      <c r="A160" s="40"/>
      <c r="B160" s="40" t="s">
        <v>766</v>
      </c>
      <c r="C160" s="23"/>
      <c r="D160" s="8"/>
      <c r="E160" s="23"/>
      <c r="F160" s="23"/>
      <c r="G160" s="3"/>
      <c r="H160" s="23"/>
      <c r="I160" s="8"/>
      <c r="J160" s="23"/>
      <c r="K160" s="23"/>
      <c r="L160" s="8"/>
      <c r="M160" s="23"/>
      <c r="N160" s="8"/>
      <c r="O160" s="8"/>
      <c r="P160" s="8"/>
      <c r="Q160" s="8"/>
      <c r="R160" s="23"/>
      <c r="S160" s="8"/>
      <c r="T160" s="23"/>
      <c r="U160" s="23"/>
      <c r="V160" s="8"/>
      <c r="W160" s="8"/>
      <c r="X160" s="8"/>
      <c r="Y160" s="8"/>
      <c r="Z160" s="8"/>
      <c r="AA160" s="8"/>
      <c r="AB160" s="8"/>
      <c r="AC160" s="8"/>
      <c r="AD160" s="8"/>
      <c r="AE160" s="10"/>
      <c r="AF160" s="10"/>
      <c r="AG160" s="10"/>
      <c r="AH160" s="6"/>
      <c r="AI160" s="10"/>
      <c r="AJ160" s="10"/>
    </row>
    <row r="161" spans="1:36" ht="12.75">
      <c r="A161" s="40"/>
      <c r="B161" s="154" t="s">
        <v>767</v>
      </c>
      <c r="C161" s="23">
        <f>D161+E161+F161</f>
        <v>222.747</v>
      </c>
      <c r="D161" s="8">
        <v>44.018</v>
      </c>
      <c r="E161" s="23">
        <v>48.535000000000025</v>
      </c>
      <c r="F161" s="23">
        <v>130.194</v>
      </c>
      <c r="G161" s="3"/>
      <c r="H161" s="23">
        <f>I161+J161+K161</f>
        <v>222.747</v>
      </c>
      <c r="I161" s="8">
        <v>44.018</v>
      </c>
      <c r="J161" s="23">
        <v>48.535000000000025</v>
      </c>
      <c r="K161" s="23">
        <v>130.194</v>
      </c>
      <c r="L161" s="8"/>
      <c r="M161" s="23"/>
      <c r="N161" s="8"/>
      <c r="O161" s="8"/>
      <c r="P161" s="8"/>
      <c r="Q161" s="8"/>
      <c r="R161" s="23">
        <f>S161+T161+U161</f>
        <v>222.747</v>
      </c>
      <c r="S161" s="8">
        <v>44.018</v>
      </c>
      <c r="T161" s="23">
        <v>48.535000000000025</v>
      </c>
      <c r="U161" s="23">
        <v>130.194</v>
      </c>
      <c r="V161" s="8"/>
      <c r="W161" s="8"/>
      <c r="X161" s="8"/>
      <c r="Y161" s="8"/>
      <c r="Z161" s="8"/>
      <c r="AA161" s="8"/>
      <c r="AB161" s="8"/>
      <c r="AC161" s="8"/>
      <c r="AD161" s="8"/>
      <c r="AE161" s="10">
        <v>2011</v>
      </c>
      <c r="AF161" s="10">
        <v>15</v>
      </c>
      <c r="AG161" s="10" t="s">
        <v>916</v>
      </c>
      <c r="AH161" s="6" t="s">
        <v>942</v>
      </c>
      <c r="AI161" s="10">
        <v>0.4</v>
      </c>
      <c r="AJ161" s="10"/>
    </row>
    <row r="162" spans="1:36" ht="12.75">
      <c r="A162" s="40"/>
      <c r="B162" s="154" t="s">
        <v>768</v>
      </c>
      <c r="C162" s="23">
        <f>D162+E162+F162</f>
        <v>158.11599999999999</v>
      </c>
      <c r="D162" s="8">
        <v>30.002</v>
      </c>
      <c r="E162" s="23">
        <v>34.378</v>
      </c>
      <c r="F162" s="23">
        <v>93.736</v>
      </c>
      <c r="G162" s="3"/>
      <c r="H162" s="23">
        <f>I162+J162+K162</f>
        <v>158.11599999999999</v>
      </c>
      <c r="I162" s="8">
        <v>30.002</v>
      </c>
      <c r="J162" s="23">
        <v>34.378</v>
      </c>
      <c r="K162" s="23">
        <v>93.736</v>
      </c>
      <c r="L162" s="8"/>
      <c r="M162" s="23"/>
      <c r="N162" s="8"/>
      <c r="O162" s="8"/>
      <c r="P162" s="8"/>
      <c r="Q162" s="8"/>
      <c r="R162" s="23">
        <f>S162+T162+U162</f>
        <v>158.11599999999999</v>
      </c>
      <c r="S162" s="8">
        <v>30.002</v>
      </c>
      <c r="T162" s="23">
        <v>34.378</v>
      </c>
      <c r="U162" s="23">
        <v>93.736</v>
      </c>
      <c r="V162" s="8"/>
      <c r="W162" s="8"/>
      <c r="X162" s="8"/>
      <c r="Y162" s="8"/>
      <c r="Z162" s="8"/>
      <c r="AA162" s="8"/>
      <c r="AB162" s="8"/>
      <c r="AC162" s="8"/>
      <c r="AD162" s="8"/>
      <c r="AE162" s="10">
        <v>2011</v>
      </c>
      <c r="AF162" s="10">
        <v>15</v>
      </c>
      <c r="AG162" s="10" t="s">
        <v>916</v>
      </c>
      <c r="AH162" s="6" t="s">
        <v>942</v>
      </c>
      <c r="AI162" s="10">
        <v>0.25</v>
      </c>
      <c r="AJ162" s="10"/>
    </row>
    <row r="163" spans="1:36" s="20" customFormat="1" ht="21" customHeight="1">
      <c r="A163" s="40"/>
      <c r="B163" s="240" t="s">
        <v>150</v>
      </c>
      <c r="C163" s="24">
        <f>C165+C167+C169+C171+C172</f>
        <v>2069.578</v>
      </c>
      <c r="D163" s="24">
        <f>D165+D167+D169+D171+D172</f>
        <v>194.244</v>
      </c>
      <c r="E163" s="24">
        <f>E165+E167+E169+E171+E172</f>
        <v>405.2870000000001</v>
      </c>
      <c r="F163" s="24">
        <f>F165+F167+F169+F171+F172</f>
        <v>1470.0470000000003</v>
      </c>
      <c r="G163" s="3"/>
      <c r="H163" s="24">
        <f>H165+H167+H169+H171+H172</f>
        <v>2106.589</v>
      </c>
      <c r="I163" s="24"/>
      <c r="J163" s="24">
        <f>J165+J167+J169+J171+J172</f>
        <v>405.2870000000001</v>
      </c>
      <c r="K163" s="24">
        <f>K165+K167+K169+K171+K172</f>
        <v>1470.0470000000003</v>
      </c>
      <c r="L163" s="24"/>
      <c r="M163" s="24"/>
      <c r="N163" s="24"/>
      <c r="O163" s="24"/>
      <c r="P163" s="24"/>
      <c r="Q163" s="24"/>
      <c r="R163" s="24">
        <f>R165+R167+R169+R171+R172</f>
        <v>2106.589</v>
      </c>
      <c r="S163" s="24"/>
      <c r="T163" s="24">
        <f>T165+T167+T169+T171+T172</f>
        <v>405.2870000000001</v>
      </c>
      <c r="U163" s="24">
        <f>U165+U167+U169+U171+U172</f>
        <v>1470.0470000000003</v>
      </c>
      <c r="V163" s="3"/>
      <c r="W163" s="3"/>
      <c r="X163" s="3"/>
      <c r="Y163" s="3"/>
      <c r="Z163" s="3"/>
      <c r="AA163" s="3"/>
      <c r="AB163" s="3"/>
      <c r="AC163" s="3"/>
      <c r="AD163" s="3"/>
      <c r="AE163" s="19"/>
      <c r="AF163" s="19"/>
      <c r="AG163" s="19"/>
      <c r="AH163" s="19"/>
      <c r="AI163" s="19"/>
      <c r="AJ163" s="19"/>
    </row>
    <row r="164" spans="1:36" ht="12.75">
      <c r="A164" s="40"/>
      <c r="B164" s="40" t="s">
        <v>769</v>
      </c>
      <c r="C164" s="34"/>
      <c r="D164" s="23"/>
      <c r="E164" s="34"/>
      <c r="F164" s="34"/>
      <c r="G164" s="3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10"/>
      <c r="AF164" s="10"/>
      <c r="AG164" s="10"/>
      <c r="AH164" s="10"/>
      <c r="AI164" s="10"/>
      <c r="AJ164" s="10"/>
    </row>
    <row r="165" spans="1:36" ht="12.75">
      <c r="A165" s="40"/>
      <c r="B165" s="154" t="s">
        <v>770</v>
      </c>
      <c r="C165" s="23">
        <v>357.139</v>
      </c>
      <c r="D165" s="8"/>
      <c r="E165" s="23">
        <v>81.233</v>
      </c>
      <c r="F165" s="23">
        <v>275.906</v>
      </c>
      <c r="G165" s="3"/>
      <c r="H165" s="23">
        <v>357.139</v>
      </c>
      <c r="I165" s="8"/>
      <c r="J165" s="23">
        <v>81.233</v>
      </c>
      <c r="K165" s="23">
        <v>275.906</v>
      </c>
      <c r="L165" s="8"/>
      <c r="M165" s="23"/>
      <c r="N165" s="8"/>
      <c r="O165" s="8"/>
      <c r="P165" s="8"/>
      <c r="Q165" s="8"/>
      <c r="R165" s="23">
        <v>357.139</v>
      </c>
      <c r="S165" s="8"/>
      <c r="T165" s="23">
        <v>81.233</v>
      </c>
      <c r="U165" s="23">
        <v>275.906</v>
      </c>
      <c r="V165" s="8"/>
      <c r="W165" s="8"/>
      <c r="X165" s="8"/>
      <c r="Y165" s="8"/>
      <c r="Z165" s="8"/>
      <c r="AA165" s="8"/>
      <c r="AB165" s="8"/>
      <c r="AC165" s="8"/>
      <c r="AD165" s="8"/>
      <c r="AE165" s="10">
        <v>2011</v>
      </c>
      <c r="AF165" s="10">
        <v>15</v>
      </c>
      <c r="AG165" s="10" t="s">
        <v>916</v>
      </c>
      <c r="AH165" s="6" t="s">
        <v>942</v>
      </c>
      <c r="AI165" s="10">
        <v>0.83</v>
      </c>
      <c r="AJ165" s="10"/>
    </row>
    <row r="166" spans="1:36" ht="12.75">
      <c r="A166" s="40"/>
      <c r="B166" s="40" t="s">
        <v>771</v>
      </c>
      <c r="C166" s="23"/>
      <c r="D166" s="8"/>
      <c r="E166" s="23"/>
      <c r="F166" s="23"/>
      <c r="G166" s="3"/>
      <c r="H166" s="23"/>
      <c r="I166" s="8"/>
      <c r="J166" s="23"/>
      <c r="K166" s="23"/>
      <c r="L166" s="8"/>
      <c r="M166" s="23"/>
      <c r="N166" s="8"/>
      <c r="O166" s="8"/>
      <c r="P166" s="8"/>
      <c r="Q166" s="8"/>
      <c r="R166" s="23"/>
      <c r="S166" s="8"/>
      <c r="T166" s="23"/>
      <c r="U166" s="23"/>
      <c r="V166" s="8"/>
      <c r="W166" s="8"/>
      <c r="X166" s="8"/>
      <c r="Y166" s="8"/>
      <c r="Z166" s="8"/>
      <c r="AA166" s="8"/>
      <c r="AB166" s="8"/>
      <c r="AC166" s="8"/>
      <c r="AD166" s="8"/>
      <c r="AE166" s="10"/>
      <c r="AF166" s="10"/>
      <c r="AG166" s="10"/>
      <c r="AH166" s="6"/>
      <c r="AI166" s="10"/>
      <c r="AJ166" s="10"/>
    </row>
    <row r="167" spans="1:36" ht="12.75">
      <c r="A167" s="40"/>
      <c r="B167" s="13" t="s">
        <v>772</v>
      </c>
      <c r="C167" s="23">
        <f>D167+E167+F167</f>
        <v>563.154</v>
      </c>
      <c r="D167" s="8">
        <v>96</v>
      </c>
      <c r="E167" s="23">
        <v>97.80200000000002</v>
      </c>
      <c r="F167" s="23">
        <v>369.352</v>
      </c>
      <c r="G167" s="3"/>
      <c r="H167" s="23">
        <f>I167+J167+K167</f>
        <v>563.1610000000001</v>
      </c>
      <c r="I167" s="8">
        <v>96.007</v>
      </c>
      <c r="J167" s="23">
        <v>97.80200000000002</v>
      </c>
      <c r="K167" s="23">
        <v>369.352</v>
      </c>
      <c r="L167" s="8"/>
      <c r="M167" s="23"/>
      <c r="N167" s="8"/>
      <c r="O167" s="8"/>
      <c r="P167" s="8"/>
      <c r="Q167" s="8"/>
      <c r="R167" s="23">
        <f>S167+T167+U167</f>
        <v>563.1610000000001</v>
      </c>
      <c r="S167" s="8">
        <v>96.007</v>
      </c>
      <c r="T167" s="23">
        <v>97.80200000000002</v>
      </c>
      <c r="U167" s="23">
        <v>369.352</v>
      </c>
      <c r="V167" s="8"/>
      <c r="W167" s="8"/>
      <c r="X167" s="8"/>
      <c r="Y167" s="8"/>
      <c r="Z167" s="8"/>
      <c r="AA167" s="8"/>
      <c r="AB167" s="8"/>
      <c r="AC167" s="8"/>
      <c r="AD167" s="8"/>
      <c r="AE167" s="10">
        <v>2011</v>
      </c>
      <c r="AF167" s="10">
        <v>15</v>
      </c>
      <c r="AG167" s="10" t="s">
        <v>916</v>
      </c>
      <c r="AH167" s="6" t="s">
        <v>942</v>
      </c>
      <c r="AI167" s="10">
        <v>0.95</v>
      </c>
      <c r="AJ167" s="10"/>
    </row>
    <row r="168" spans="1:36" ht="12.75">
      <c r="A168" s="40"/>
      <c r="B168" s="40" t="s">
        <v>773</v>
      </c>
      <c r="C168" s="8"/>
      <c r="D168" s="8"/>
      <c r="E168" s="8"/>
      <c r="F168" s="8"/>
      <c r="G168" s="3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10"/>
      <c r="AF168" s="10"/>
      <c r="AG168" s="10"/>
      <c r="AH168" s="10"/>
      <c r="AI168" s="10"/>
      <c r="AJ168" s="10"/>
    </row>
    <row r="169" spans="1:36" ht="12.75">
      <c r="A169" s="40"/>
      <c r="B169" s="154" t="s">
        <v>774</v>
      </c>
      <c r="C169" s="23">
        <v>400.321</v>
      </c>
      <c r="D169" s="8"/>
      <c r="E169" s="23">
        <f>C169-F169</f>
        <v>90.459</v>
      </c>
      <c r="F169" s="23">
        <v>309.862</v>
      </c>
      <c r="G169" s="3"/>
      <c r="H169" s="23">
        <v>400.321</v>
      </c>
      <c r="I169" s="8"/>
      <c r="J169" s="23">
        <f>H169-K169</f>
        <v>90.459</v>
      </c>
      <c r="K169" s="23">
        <v>309.862</v>
      </c>
      <c r="L169" s="8"/>
      <c r="M169" s="23"/>
      <c r="N169" s="8"/>
      <c r="O169" s="8"/>
      <c r="P169" s="8"/>
      <c r="Q169" s="8"/>
      <c r="R169" s="23">
        <v>400.321</v>
      </c>
      <c r="S169" s="8"/>
      <c r="T169" s="23">
        <f>R169-U169</f>
        <v>90.459</v>
      </c>
      <c r="U169" s="23">
        <v>309.862</v>
      </c>
      <c r="V169" s="8"/>
      <c r="W169" s="8"/>
      <c r="X169" s="8"/>
      <c r="Y169" s="8"/>
      <c r="Z169" s="8"/>
      <c r="AA169" s="8"/>
      <c r="AB169" s="8"/>
      <c r="AC169" s="8"/>
      <c r="AD169" s="8"/>
      <c r="AE169" s="10">
        <v>2011</v>
      </c>
      <c r="AF169" s="10">
        <v>15</v>
      </c>
      <c r="AG169" s="10" t="s">
        <v>916</v>
      </c>
      <c r="AH169" s="6" t="s">
        <v>942</v>
      </c>
      <c r="AI169" s="10">
        <v>0.85</v>
      </c>
      <c r="AJ169" s="10"/>
    </row>
    <row r="170" spans="1:36" ht="12.75">
      <c r="A170" s="40"/>
      <c r="B170" s="40" t="s">
        <v>775</v>
      </c>
      <c r="C170" s="8"/>
      <c r="D170" s="8"/>
      <c r="E170" s="8"/>
      <c r="F170" s="8"/>
      <c r="G170" s="3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10"/>
      <c r="AF170" s="10"/>
      <c r="AG170" s="10"/>
      <c r="AH170" s="10"/>
      <c r="AI170" s="10"/>
      <c r="AJ170" s="10"/>
    </row>
    <row r="171" spans="1:36" ht="12.75">
      <c r="A171" s="40"/>
      <c r="B171" s="154" t="s">
        <v>776</v>
      </c>
      <c r="C171" s="23">
        <v>298.759</v>
      </c>
      <c r="D171" s="23"/>
      <c r="E171" s="23">
        <v>67.263</v>
      </c>
      <c r="F171" s="23">
        <v>231.496</v>
      </c>
      <c r="G171" s="3"/>
      <c r="H171" s="23">
        <v>298.759</v>
      </c>
      <c r="I171" s="23"/>
      <c r="J171" s="23">
        <v>67.263</v>
      </c>
      <c r="K171" s="23">
        <v>231.496</v>
      </c>
      <c r="L171" s="8"/>
      <c r="M171" s="23"/>
      <c r="N171" s="8"/>
      <c r="O171" s="8"/>
      <c r="P171" s="8"/>
      <c r="Q171" s="8"/>
      <c r="R171" s="23">
        <v>298.759</v>
      </c>
      <c r="S171" s="23"/>
      <c r="T171" s="23">
        <v>67.263</v>
      </c>
      <c r="U171" s="23">
        <v>231.496</v>
      </c>
      <c r="V171" s="8"/>
      <c r="W171" s="8"/>
      <c r="X171" s="8"/>
      <c r="Y171" s="8"/>
      <c r="Z171" s="8"/>
      <c r="AA171" s="8"/>
      <c r="AB171" s="8"/>
      <c r="AC171" s="8"/>
      <c r="AD171" s="8"/>
      <c r="AE171" s="10">
        <v>2011</v>
      </c>
      <c r="AF171" s="10">
        <v>15</v>
      </c>
      <c r="AG171" s="10" t="s">
        <v>916</v>
      </c>
      <c r="AH171" s="6" t="s">
        <v>942</v>
      </c>
      <c r="AI171" s="10">
        <v>0.9</v>
      </c>
      <c r="AJ171" s="10"/>
    </row>
    <row r="172" spans="1:36" ht="50.25" customHeight="1">
      <c r="A172" s="40"/>
      <c r="B172" s="154" t="s">
        <v>777</v>
      </c>
      <c r="C172" s="23">
        <f>D172+E172+F172</f>
        <v>450.20500000000004</v>
      </c>
      <c r="D172" s="8">
        <v>98.244</v>
      </c>
      <c r="E172" s="23">
        <v>68.53000000000003</v>
      </c>
      <c r="F172" s="23">
        <v>283.431</v>
      </c>
      <c r="G172" s="3"/>
      <c r="H172" s="23">
        <f>I172+J172+K172</f>
        <v>487.209</v>
      </c>
      <c r="I172" s="8">
        <v>135.248</v>
      </c>
      <c r="J172" s="23">
        <v>68.53000000000003</v>
      </c>
      <c r="K172" s="23">
        <v>283.431</v>
      </c>
      <c r="L172" s="8"/>
      <c r="M172" s="23"/>
      <c r="N172" s="8"/>
      <c r="O172" s="8"/>
      <c r="P172" s="8"/>
      <c r="Q172" s="8"/>
      <c r="R172" s="23">
        <f>S172+T172+U172</f>
        <v>487.209</v>
      </c>
      <c r="S172" s="8">
        <v>135.248</v>
      </c>
      <c r="T172" s="23">
        <v>68.53000000000003</v>
      </c>
      <c r="U172" s="23">
        <v>283.431</v>
      </c>
      <c r="V172" s="8"/>
      <c r="W172" s="8"/>
      <c r="X172" s="8"/>
      <c r="Y172" s="8"/>
      <c r="Z172" s="8"/>
      <c r="AA172" s="8"/>
      <c r="AB172" s="8"/>
      <c r="AC172" s="8"/>
      <c r="AD172" s="8"/>
      <c r="AE172" s="10">
        <v>2011</v>
      </c>
      <c r="AF172" s="10">
        <v>15</v>
      </c>
      <c r="AG172" s="10" t="s">
        <v>916</v>
      </c>
      <c r="AH172" s="6" t="s">
        <v>942</v>
      </c>
      <c r="AI172" s="10">
        <v>0.83</v>
      </c>
      <c r="AJ172" s="10"/>
    </row>
    <row r="173" spans="1:36" s="20" customFormat="1" ht="12.75">
      <c r="A173" s="40"/>
      <c r="B173" s="240" t="s">
        <v>156</v>
      </c>
      <c r="C173" s="24">
        <f>C175+C176+C177+C178+C179+C181+C184+C185+C188+C182+C186</f>
        <v>2647.7490000000003</v>
      </c>
      <c r="D173" s="24">
        <f>D175+D176+D177+D178+D179+D181+D184+D185+D188+D182+D186</f>
        <v>240.813</v>
      </c>
      <c r="E173" s="24">
        <f>E175+E176+E177+E178+E179+E181+E184+E185+E188+E182+E186</f>
        <v>720.531</v>
      </c>
      <c r="F173" s="24">
        <f>F175+F176+F177+F178+F179+F181+F184+F185+F188+F182+F186</f>
        <v>1686.4050000000002</v>
      </c>
      <c r="G173" s="3"/>
      <c r="H173" s="24">
        <f>H175+H176+H177+H178+H179+H181+H184+H185+H188+H182+H186</f>
        <v>2690.035</v>
      </c>
      <c r="I173" s="24"/>
      <c r="J173" s="24">
        <f>J175+J176+J177+J178+J179+J181+J184+J185+J188+J182+J186</f>
        <v>552.335</v>
      </c>
      <c r="K173" s="24">
        <f>K175+K176+K177+K178+K179+K181+K184+K185+K188+K182+K186</f>
        <v>1780.5029999999997</v>
      </c>
      <c r="L173" s="24"/>
      <c r="M173" s="24"/>
      <c r="N173" s="24"/>
      <c r="O173" s="24"/>
      <c r="P173" s="24"/>
      <c r="Q173" s="24"/>
      <c r="R173" s="24">
        <f>R175+R176+R177+R178+R179+R181+R184+R185+R188+R182+R186</f>
        <v>2690.035</v>
      </c>
      <c r="S173" s="24"/>
      <c r="T173" s="24">
        <f>T175+T176+T177+T178+T179+T181+T184+T185+T188+T182+T186</f>
        <v>552.335</v>
      </c>
      <c r="U173" s="24">
        <f>U175+U176+U177+U178+U179+U181+U184+U185+U188+U182+U186</f>
        <v>1780.5029999999997</v>
      </c>
      <c r="V173" s="3"/>
      <c r="W173" s="3"/>
      <c r="X173" s="3"/>
      <c r="Y173" s="3"/>
      <c r="Z173" s="3"/>
      <c r="AA173" s="3"/>
      <c r="AB173" s="3"/>
      <c r="AC173" s="3"/>
      <c r="AD173" s="3"/>
      <c r="AE173" s="19"/>
      <c r="AF173" s="19"/>
      <c r="AG173" s="19"/>
      <c r="AH173" s="19"/>
      <c r="AI173" s="19"/>
      <c r="AJ173" s="19"/>
    </row>
    <row r="174" spans="1:36" ht="12.75">
      <c r="A174" s="40"/>
      <c r="B174" s="40" t="s">
        <v>778</v>
      </c>
      <c r="C174" s="8"/>
      <c r="D174" s="8"/>
      <c r="E174" s="8"/>
      <c r="F174" s="8"/>
      <c r="G174" s="3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10"/>
      <c r="AF174" s="10"/>
      <c r="AG174" s="10"/>
      <c r="AH174" s="10"/>
      <c r="AI174" s="10"/>
      <c r="AJ174" s="10"/>
    </row>
    <row r="175" spans="1:36" ht="12.75">
      <c r="A175" s="40"/>
      <c r="B175" s="154" t="s">
        <v>779</v>
      </c>
      <c r="C175" s="23">
        <v>122.797</v>
      </c>
      <c r="D175" s="8"/>
      <c r="E175" s="23">
        <v>25.555999999999997</v>
      </c>
      <c r="F175" s="23">
        <v>97.241</v>
      </c>
      <c r="G175" s="3"/>
      <c r="H175" s="23">
        <v>122.797</v>
      </c>
      <c r="I175" s="8"/>
      <c r="J175" s="23">
        <v>25.555999999999997</v>
      </c>
      <c r="K175" s="23">
        <v>97.241</v>
      </c>
      <c r="L175" s="8"/>
      <c r="M175" s="23"/>
      <c r="N175" s="8"/>
      <c r="O175" s="8"/>
      <c r="P175" s="8"/>
      <c r="Q175" s="8"/>
      <c r="R175" s="23">
        <v>122.797</v>
      </c>
      <c r="S175" s="8"/>
      <c r="T175" s="23">
        <v>25.555999999999997</v>
      </c>
      <c r="U175" s="23">
        <v>97.241</v>
      </c>
      <c r="V175" s="8"/>
      <c r="W175" s="8"/>
      <c r="X175" s="8"/>
      <c r="Y175" s="8"/>
      <c r="Z175" s="8"/>
      <c r="AA175" s="8"/>
      <c r="AB175" s="8"/>
      <c r="AC175" s="8"/>
      <c r="AD175" s="8"/>
      <c r="AE175" s="10">
        <v>2011</v>
      </c>
      <c r="AF175" s="10">
        <v>15</v>
      </c>
      <c r="AG175" s="10" t="s">
        <v>916</v>
      </c>
      <c r="AH175" s="6" t="s">
        <v>942</v>
      </c>
      <c r="AI175" s="299">
        <v>0.3</v>
      </c>
      <c r="AJ175" s="10"/>
    </row>
    <row r="176" spans="1:36" ht="12.75">
      <c r="A176" s="40"/>
      <c r="B176" s="154" t="s">
        <v>780</v>
      </c>
      <c r="C176" s="23">
        <f>D176+E176+F176</f>
        <v>104.574</v>
      </c>
      <c r="D176" s="8">
        <v>73</v>
      </c>
      <c r="E176" s="23">
        <v>10.63</v>
      </c>
      <c r="F176" s="23">
        <v>20.944</v>
      </c>
      <c r="G176" s="3"/>
      <c r="H176" s="23">
        <f>I176+J176+K176</f>
        <v>104.57400000000001</v>
      </c>
      <c r="I176" s="8">
        <v>73.001</v>
      </c>
      <c r="J176" s="23">
        <v>7.611</v>
      </c>
      <c r="K176" s="23">
        <v>23.962</v>
      </c>
      <c r="L176" s="8"/>
      <c r="M176" s="23"/>
      <c r="N176" s="8"/>
      <c r="O176" s="8"/>
      <c r="P176" s="8"/>
      <c r="Q176" s="8"/>
      <c r="R176" s="23">
        <f>S176+T176+U176</f>
        <v>104.57400000000001</v>
      </c>
      <c r="S176" s="8">
        <v>73.001</v>
      </c>
      <c r="T176" s="23">
        <v>7.611</v>
      </c>
      <c r="U176" s="23">
        <v>23.962</v>
      </c>
      <c r="V176" s="8"/>
      <c r="W176" s="8"/>
      <c r="X176" s="8"/>
      <c r="Y176" s="8"/>
      <c r="Z176" s="8"/>
      <c r="AA176" s="8"/>
      <c r="AB176" s="8"/>
      <c r="AC176" s="8"/>
      <c r="AD176" s="8"/>
      <c r="AE176" s="10">
        <v>2011</v>
      </c>
      <c r="AF176" s="10">
        <v>15</v>
      </c>
      <c r="AG176" s="10" t="s">
        <v>916</v>
      </c>
      <c r="AH176" s="6" t="s">
        <v>953</v>
      </c>
      <c r="AI176" s="299">
        <v>0.485</v>
      </c>
      <c r="AJ176" s="10"/>
    </row>
    <row r="177" spans="1:36" ht="22.5" customHeight="1">
      <c r="A177" s="40"/>
      <c r="B177" s="154" t="s">
        <v>781</v>
      </c>
      <c r="C177" s="23">
        <v>91.38</v>
      </c>
      <c r="D177" s="8"/>
      <c r="E177" s="23">
        <f>C177-F177</f>
        <v>32.419</v>
      </c>
      <c r="F177" s="23">
        <v>58.961</v>
      </c>
      <c r="G177" s="3"/>
      <c r="H177" s="23">
        <v>91.38</v>
      </c>
      <c r="I177" s="8"/>
      <c r="J177" s="23">
        <f>H177-K177</f>
        <v>32.419</v>
      </c>
      <c r="K177" s="23">
        <v>58.961</v>
      </c>
      <c r="L177" s="8"/>
      <c r="M177" s="23"/>
      <c r="N177" s="8"/>
      <c r="O177" s="8"/>
      <c r="P177" s="8"/>
      <c r="Q177" s="8"/>
      <c r="R177" s="23">
        <v>91.38</v>
      </c>
      <c r="S177" s="8"/>
      <c r="T177" s="23">
        <f>R177-U177</f>
        <v>32.419</v>
      </c>
      <c r="U177" s="23">
        <v>58.961</v>
      </c>
      <c r="V177" s="8"/>
      <c r="W177" s="8"/>
      <c r="X177" s="8"/>
      <c r="Y177" s="8"/>
      <c r="Z177" s="8"/>
      <c r="AA177" s="8"/>
      <c r="AB177" s="8"/>
      <c r="AC177" s="8"/>
      <c r="AD177" s="8"/>
      <c r="AE177" s="10">
        <v>2011</v>
      </c>
      <c r="AF177" s="10">
        <v>15</v>
      </c>
      <c r="AG177" s="10" t="s">
        <v>916</v>
      </c>
      <c r="AH177" s="6" t="s">
        <v>954</v>
      </c>
      <c r="AI177" s="299">
        <v>0.35</v>
      </c>
      <c r="AJ177" s="10"/>
    </row>
    <row r="178" spans="1:36" ht="12.75">
      <c r="A178" s="40"/>
      <c r="B178" s="154" t="s">
        <v>782</v>
      </c>
      <c r="C178" s="23">
        <f>E178+F178</f>
        <v>143.12</v>
      </c>
      <c r="D178" s="22"/>
      <c r="E178" s="23">
        <v>41.991</v>
      </c>
      <c r="F178" s="23">
        <v>101.129</v>
      </c>
      <c r="G178" s="3"/>
      <c r="H178" s="23">
        <f>J178+K178</f>
        <v>143.12</v>
      </c>
      <c r="I178" s="22"/>
      <c r="J178" s="23">
        <v>41.991</v>
      </c>
      <c r="K178" s="23">
        <v>101.129</v>
      </c>
      <c r="L178" s="8"/>
      <c r="M178" s="22"/>
      <c r="N178" s="8"/>
      <c r="O178" s="8"/>
      <c r="P178" s="8"/>
      <c r="Q178" s="8"/>
      <c r="R178" s="23">
        <f>T178+U178</f>
        <v>143.12</v>
      </c>
      <c r="S178" s="22"/>
      <c r="T178" s="23">
        <v>41.991</v>
      </c>
      <c r="U178" s="23">
        <v>101.129</v>
      </c>
      <c r="V178" s="8"/>
      <c r="W178" s="8"/>
      <c r="X178" s="8"/>
      <c r="Y178" s="8"/>
      <c r="Z178" s="8"/>
      <c r="AA178" s="8"/>
      <c r="AB178" s="8"/>
      <c r="AC178" s="8"/>
      <c r="AD178" s="8"/>
      <c r="AE178" s="10">
        <v>2011</v>
      </c>
      <c r="AF178" s="10">
        <v>15</v>
      </c>
      <c r="AG178" s="10" t="s">
        <v>916</v>
      </c>
      <c r="AH178" s="6" t="s">
        <v>942</v>
      </c>
      <c r="AI178" s="299">
        <v>0.145</v>
      </c>
      <c r="AJ178" s="10"/>
    </row>
    <row r="179" spans="1:36" ht="45" customHeight="1">
      <c r="A179" s="40"/>
      <c r="B179" s="13" t="s">
        <v>783</v>
      </c>
      <c r="C179" s="23">
        <v>370.049</v>
      </c>
      <c r="D179" s="22"/>
      <c r="E179" s="23">
        <f>C179-F179</f>
        <v>102.30899999999997</v>
      </c>
      <c r="F179" s="23">
        <v>267.74</v>
      </c>
      <c r="G179" s="3"/>
      <c r="H179" s="23">
        <v>370.049</v>
      </c>
      <c r="I179" s="22"/>
      <c r="J179" s="23">
        <f>H179-K179</f>
        <v>102.30899999999997</v>
      </c>
      <c r="K179" s="23">
        <v>267.74</v>
      </c>
      <c r="L179" s="8"/>
      <c r="M179" s="23"/>
      <c r="N179" s="8"/>
      <c r="O179" s="8"/>
      <c r="P179" s="8"/>
      <c r="Q179" s="8"/>
      <c r="R179" s="23">
        <v>370.049</v>
      </c>
      <c r="S179" s="22"/>
      <c r="T179" s="23">
        <f>R179-U179</f>
        <v>102.30899999999997</v>
      </c>
      <c r="U179" s="23">
        <v>267.74</v>
      </c>
      <c r="V179" s="8"/>
      <c r="W179" s="8"/>
      <c r="X179" s="8"/>
      <c r="Y179" s="8"/>
      <c r="Z179" s="8"/>
      <c r="AA179" s="8"/>
      <c r="AB179" s="8"/>
      <c r="AC179" s="8"/>
      <c r="AD179" s="8"/>
      <c r="AE179" s="10">
        <v>2011</v>
      </c>
      <c r="AF179" s="10">
        <v>15</v>
      </c>
      <c r="AG179" s="10" t="s">
        <v>916</v>
      </c>
      <c r="AH179" s="6" t="s">
        <v>942</v>
      </c>
      <c r="AI179" s="299">
        <v>0.92</v>
      </c>
      <c r="AJ179" s="10"/>
    </row>
    <row r="180" spans="1:36" ht="12.75">
      <c r="A180" s="40"/>
      <c r="B180" s="40" t="s">
        <v>784</v>
      </c>
      <c r="C180" s="8"/>
      <c r="D180" s="8"/>
      <c r="E180" s="8"/>
      <c r="F180" s="8"/>
      <c r="G180" s="3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10"/>
      <c r="AF180" s="10"/>
      <c r="AG180" s="10"/>
      <c r="AH180" s="10"/>
      <c r="AI180" s="10"/>
      <c r="AJ180" s="10"/>
    </row>
    <row r="181" spans="1:36" ht="48.75" customHeight="1">
      <c r="A181" s="40"/>
      <c r="B181" s="154" t="s">
        <v>785</v>
      </c>
      <c r="C181" s="23">
        <v>455.583</v>
      </c>
      <c r="D181" s="8"/>
      <c r="E181" s="8">
        <v>106.635</v>
      </c>
      <c r="F181" s="23">
        <v>348.948</v>
      </c>
      <c r="G181" s="3"/>
      <c r="H181" s="23">
        <v>455.583</v>
      </c>
      <c r="I181" s="8"/>
      <c r="J181" s="8">
        <v>106.635</v>
      </c>
      <c r="K181" s="23">
        <v>348.948</v>
      </c>
      <c r="L181" s="8"/>
      <c r="M181" s="8"/>
      <c r="N181" s="8"/>
      <c r="O181" s="8"/>
      <c r="P181" s="8"/>
      <c r="Q181" s="8"/>
      <c r="R181" s="23">
        <v>455.583</v>
      </c>
      <c r="S181" s="8"/>
      <c r="T181" s="8">
        <v>106.635</v>
      </c>
      <c r="U181" s="23">
        <v>348.948</v>
      </c>
      <c r="V181" s="8"/>
      <c r="W181" s="8"/>
      <c r="X181" s="8"/>
      <c r="Y181" s="8"/>
      <c r="Z181" s="8"/>
      <c r="AA181" s="8"/>
      <c r="AB181" s="8"/>
      <c r="AC181" s="8"/>
      <c r="AD181" s="8"/>
      <c r="AE181" s="10">
        <v>2011</v>
      </c>
      <c r="AF181" s="10">
        <v>15</v>
      </c>
      <c r="AG181" s="10" t="s">
        <v>916</v>
      </c>
      <c r="AH181" s="6" t="s">
        <v>942</v>
      </c>
      <c r="AI181" s="10">
        <v>0.9</v>
      </c>
      <c r="AJ181" s="10"/>
    </row>
    <row r="182" spans="1:36" ht="48.75" customHeight="1">
      <c r="A182" s="40"/>
      <c r="B182" s="154" t="s">
        <v>786</v>
      </c>
      <c r="C182" s="23">
        <v>441</v>
      </c>
      <c r="D182" s="8"/>
      <c r="E182" s="8">
        <v>176.4</v>
      </c>
      <c r="F182" s="23">
        <v>264.6</v>
      </c>
      <c r="G182" s="3"/>
      <c r="H182" s="23">
        <f>I182+J182+K182</f>
        <v>471.28799999999995</v>
      </c>
      <c r="I182" s="8">
        <v>107.07</v>
      </c>
      <c r="J182" s="8">
        <v>63.301</v>
      </c>
      <c r="K182" s="23">
        <v>300.917</v>
      </c>
      <c r="L182" s="8"/>
      <c r="M182" s="8"/>
      <c r="N182" s="8"/>
      <c r="O182" s="8"/>
      <c r="P182" s="8"/>
      <c r="Q182" s="8"/>
      <c r="R182" s="23">
        <f>S182+T182+U182</f>
        <v>471.28799999999995</v>
      </c>
      <c r="S182" s="8">
        <v>107.07</v>
      </c>
      <c r="T182" s="8">
        <v>63.301</v>
      </c>
      <c r="U182" s="23">
        <v>300.917</v>
      </c>
      <c r="V182" s="8"/>
      <c r="W182" s="8"/>
      <c r="X182" s="8"/>
      <c r="Y182" s="8"/>
      <c r="Z182" s="8"/>
      <c r="AA182" s="8"/>
      <c r="AB182" s="8"/>
      <c r="AC182" s="8"/>
      <c r="AD182" s="8"/>
      <c r="AE182" s="10">
        <v>2011</v>
      </c>
      <c r="AF182" s="10">
        <v>15</v>
      </c>
      <c r="AG182" s="10" t="s">
        <v>916</v>
      </c>
      <c r="AH182" s="6" t="s">
        <v>942</v>
      </c>
      <c r="AI182" s="10">
        <v>0.82</v>
      </c>
      <c r="AJ182" s="10"/>
    </row>
    <row r="183" spans="1:36" ht="12.75">
      <c r="A183" s="40"/>
      <c r="B183" s="40" t="s">
        <v>787</v>
      </c>
      <c r="C183" s="8"/>
      <c r="D183" s="8"/>
      <c r="E183" s="8"/>
      <c r="F183" s="8"/>
      <c r="G183" s="3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10"/>
      <c r="AF183" s="10"/>
      <c r="AG183" s="10"/>
      <c r="AH183" s="10"/>
      <c r="AI183" s="10"/>
      <c r="AJ183" s="10"/>
    </row>
    <row r="184" spans="1:36" ht="12.75">
      <c r="A184" s="40"/>
      <c r="B184" s="177" t="s">
        <v>788</v>
      </c>
      <c r="C184" s="23">
        <v>13.142</v>
      </c>
      <c r="D184" s="23"/>
      <c r="E184" s="23">
        <v>2.9659999999999993</v>
      </c>
      <c r="F184" s="23">
        <v>10.176</v>
      </c>
      <c r="G184" s="3"/>
      <c r="H184" s="23">
        <v>13.142</v>
      </c>
      <c r="I184" s="23"/>
      <c r="J184" s="23">
        <v>2.9659999999999993</v>
      </c>
      <c r="K184" s="23">
        <v>10.176</v>
      </c>
      <c r="L184" s="8"/>
      <c r="M184" s="23"/>
      <c r="N184" s="8"/>
      <c r="O184" s="8"/>
      <c r="P184" s="8"/>
      <c r="Q184" s="8"/>
      <c r="R184" s="23">
        <v>13.142</v>
      </c>
      <c r="S184" s="23"/>
      <c r="T184" s="23">
        <v>2.9659999999999993</v>
      </c>
      <c r="U184" s="23">
        <v>10.176</v>
      </c>
      <c r="V184" s="8"/>
      <c r="W184" s="8"/>
      <c r="X184" s="8"/>
      <c r="Y184" s="8"/>
      <c r="Z184" s="8"/>
      <c r="AA184" s="8"/>
      <c r="AB184" s="8"/>
      <c r="AC184" s="8"/>
      <c r="AD184" s="8"/>
      <c r="AE184" s="10">
        <v>2011</v>
      </c>
      <c r="AF184" s="10">
        <v>15</v>
      </c>
      <c r="AG184" s="10" t="s">
        <v>955</v>
      </c>
      <c r="AH184" s="6" t="s">
        <v>956</v>
      </c>
      <c r="AI184" s="10">
        <v>0.22</v>
      </c>
      <c r="AJ184" s="10"/>
    </row>
    <row r="185" spans="1:36" ht="12.75">
      <c r="A185" s="40"/>
      <c r="B185" s="13" t="s">
        <v>789</v>
      </c>
      <c r="C185" s="23">
        <f>D185+E185+F185</f>
        <v>364.956</v>
      </c>
      <c r="D185" s="23">
        <v>56.813</v>
      </c>
      <c r="E185" s="23">
        <v>80.46199999999996</v>
      </c>
      <c r="F185" s="23">
        <v>227.681</v>
      </c>
      <c r="G185" s="3"/>
      <c r="H185" s="23">
        <f>I185+J185+K185</f>
        <v>374.13699999999994</v>
      </c>
      <c r="I185" s="23">
        <v>65.994</v>
      </c>
      <c r="J185" s="23">
        <v>80.46199999999996</v>
      </c>
      <c r="K185" s="23">
        <v>227.681</v>
      </c>
      <c r="L185" s="8"/>
      <c r="M185" s="23"/>
      <c r="N185" s="8"/>
      <c r="O185" s="8"/>
      <c r="P185" s="8"/>
      <c r="Q185" s="8"/>
      <c r="R185" s="23">
        <f>S185+T185+U185</f>
        <v>374.13699999999994</v>
      </c>
      <c r="S185" s="23">
        <v>65.994</v>
      </c>
      <c r="T185" s="23">
        <v>80.46199999999996</v>
      </c>
      <c r="U185" s="23">
        <v>227.681</v>
      </c>
      <c r="V185" s="8"/>
      <c r="W185" s="8"/>
      <c r="X185" s="8"/>
      <c r="Y185" s="8"/>
      <c r="Z185" s="8"/>
      <c r="AA185" s="8"/>
      <c r="AB185" s="8"/>
      <c r="AC185" s="8"/>
      <c r="AD185" s="8"/>
      <c r="AE185" s="10">
        <v>2011</v>
      </c>
      <c r="AF185" s="10">
        <v>15</v>
      </c>
      <c r="AG185" s="10" t="s">
        <v>955</v>
      </c>
      <c r="AH185" s="6" t="s">
        <v>942</v>
      </c>
      <c r="AI185" s="10">
        <v>0.75</v>
      </c>
      <c r="AJ185" s="10"/>
    </row>
    <row r="186" spans="1:36" ht="12.75">
      <c r="A186" s="40"/>
      <c r="B186" s="154" t="s">
        <v>790</v>
      </c>
      <c r="C186" s="34">
        <f>E186+F186+D186</f>
        <v>216</v>
      </c>
      <c r="D186" s="34">
        <v>41</v>
      </c>
      <c r="E186" s="34">
        <v>70</v>
      </c>
      <c r="F186" s="34">
        <v>105</v>
      </c>
      <c r="G186" s="3"/>
      <c r="H186" s="23">
        <f>I186+J186+K186</f>
        <v>218.721</v>
      </c>
      <c r="I186" s="23">
        <v>41.036</v>
      </c>
      <c r="J186" s="23">
        <v>17.922</v>
      </c>
      <c r="K186" s="23">
        <v>159.763</v>
      </c>
      <c r="L186" s="8"/>
      <c r="M186" s="23"/>
      <c r="N186" s="8"/>
      <c r="O186" s="8"/>
      <c r="P186" s="8"/>
      <c r="Q186" s="8"/>
      <c r="R186" s="23">
        <f>S186+T186+U186</f>
        <v>218.721</v>
      </c>
      <c r="S186" s="23">
        <v>41.036</v>
      </c>
      <c r="T186" s="23">
        <v>17.922</v>
      </c>
      <c r="U186" s="23">
        <v>159.763</v>
      </c>
      <c r="V186" s="8"/>
      <c r="W186" s="8"/>
      <c r="X186" s="8"/>
      <c r="Y186" s="8"/>
      <c r="Z186" s="8"/>
      <c r="AA186" s="8"/>
      <c r="AB186" s="8"/>
      <c r="AC186" s="8"/>
      <c r="AD186" s="8"/>
      <c r="AE186" s="10">
        <v>2011</v>
      </c>
      <c r="AF186" s="10">
        <v>15</v>
      </c>
      <c r="AG186" s="10" t="s">
        <v>955</v>
      </c>
      <c r="AH186" s="6" t="s">
        <v>957</v>
      </c>
      <c r="AI186" s="10">
        <v>0.35</v>
      </c>
      <c r="AJ186" s="10"/>
    </row>
    <row r="187" spans="1:36" ht="12.75">
      <c r="A187" s="40"/>
      <c r="B187" s="40" t="s">
        <v>791</v>
      </c>
      <c r="C187" s="23"/>
      <c r="D187" s="23"/>
      <c r="E187" s="23"/>
      <c r="F187" s="23"/>
      <c r="G187" s="3"/>
      <c r="H187" s="23"/>
      <c r="I187" s="23"/>
      <c r="J187" s="23"/>
      <c r="K187" s="23"/>
      <c r="L187" s="8"/>
      <c r="M187" s="23"/>
      <c r="N187" s="8"/>
      <c r="O187" s="8"/>
      <c r="P187" s="8"/>
      <c r="Q187" s="8"/>
      <c r="R187" s="23"/>
      <c r="S187" s="23"/>
      <c r="T187" s="23"/>
      <c r="U187" s="23"/>
      <c r="V187" s="8"/>
      <c r="W187" s="8"/>
      <c r="X187" s="8"/>
      <c r="Y187" s="8"/>
      <c r="Z187" s="8"/>
      <c r="AA187" s="8"/>
      <c r="AB187" s="8"/>
      <c r="AC187" s="8"/>
      <c r="AD187" s="8"/>
      <c r="AE187" s="10"/>
      <c r="AF187" s="10"/>
      <c r="AG187" s="10"/>
      <c r="AH187" s="6"/>
      <c r="AI187" s="10"/>
      <c r="AJ187" s="10"/>
    </row>
    <row r="188" spans="1:36" ht="12.75">
      <c r="A188" s="40"/>
      <c r="B188" s="13" t="s">
        <v>792</v>
      </c>
      <c r="C188" s="23">
        <f>D188+E188+F188</f>
        <v>325.148</v>
      </c>
      <c r="D188" s="23">
        <v>70</v>
      </c>
      <c r="E188" s="23">
        <v>71.16299999999998</v>
      </c>
      <c r="F188" s="23">
        <v>183.985</v>
      </c>
      <c r="G188" s="3"/>
      <c r="H188" s="23">
        <f>I188+J188+K188</f>
        <v>325.244</v>
      </c>
      <c r="I188" s="23">
        <v>70.096</v>
      </c>
      <c r="J188" s="23">
        <v>71.16299999999998</v>
      </c>
      <c r="K188" s="23">
        <v>183.985</v>
      </c>
      <c r="L188" s="8"/>
      <c r="M188" s="23"/>
      <c r="N188" s="8"/>
      <c r="O188" s="8"/>
      <c r="P188" s="8"/>
      <c r="Q188" s="8"/>
      <c r="R188" s="23">
        <f>S188+T188+U188</f>
        <v>325.244</v>
      </c>
      <c r="S188" s="23">
        <v>70.096</v>
      </c>
      <c r="T188" s="23">
        <v>71.16299999999998</v>
      </c>
      <c r="U188" s="23">
        <v>183.985</v>
      </c>
      <c r="V188" s="8"/>
      <c r="W188" s="8"/>
      <c r="X188" s="8"/>
      <c r="Y188" s="8"/>
      <c r="Z188" s="8"/>
      <c r="AA188" s="8"/>
      <c r="AB188" s="8"/>
      <c r="AC188" s="8"/>
      <c r="AD188" s="8"/>
      <c r="AE188" s="10">
        <v>2011</v>
      </c>
      <c r="AF188" s="10">
        <v>15</v>
      </c>
      <c r="AG188" s="10" t="s">
        <v>955</v>
      </c>
      <c r="AH188" s="6" t="s">
        <v>942</v>
      </c>
      <c r="AI188" s="10">
        <v>0.68</v>
      </c>
      <c r="AJ188" s="10"/>
    </row>
    <row r="189" spans="1:36" s="20" customFormat="1" ht="12.75">
      <c r="A189" s="40"/>
      <c r="B189" s="240" t="s">
        <v>162</v>
      </c>
      <c r="C189" s="24">
        <f>C191+C192+C194+C196+C197+C198+C201+C199</f>
        <v>2405.799</v>
      </c>
      <c r="D189" s="24">
        <f>D191+D192+D194+D196+D197+D198+D201+D199</f>
        <v>312.644</v>
      </c>
      <c r="E189" s="24">
        <f>E191+E192+E194+E196+E197+E198+E201+E199</f>
        <v>691.433</v>
      </c>
      <c r="F189" s="24">
        <f>F191+F192+F194+F196+F197+F198+F201+F199</f>
        <v>1401.7220000000002</v>
      </c>
      <c r="G189" s="3"/>
      <c r="H189" s="24">
        <f>H191+H192+H194+H196+H197+H198+H201+H199</f>
        <v>2472.0119999999997</v>
      </c>
      <c r="I189" s="24">
        <f>I191+I192+I194+I196+I197+I198+I201+I199</f>
        <v>310.86800000000005</v>
      </c>
      <c r="J189" s="24">
        <f>J191+J192+J194+J196+J197+J198+J201+J199</f>
        <v>715.319</v>
      </c>
      <c r="K189" s="24">
        <f>K191+K192+K194+K196+K197+K198+K201+K199</f>
        <v>1445.825</v>
      </c>
      <c r="L189" s="24"/>
      <c r="M189" s="24"/>
      <c r="N189" s="24"/>
      <c r="O189" s="24"/>
      <c r="P189" s="24"/>
      <c r="Q189" s="24"/>
      <c r="R189" s="24">
        <f>R191+R192+R194+R196+R197+R198+R201+R199</f>
        <v>2472.0119999999997</v>
      </c>
      <c r="S189" s="24">
        <f>S191+S192+S194+S196+S197+S198+S201+S199</f>
        <v>310.86800000000005</v>
      </c>
      <c r="T189" s="24">
        <f>T191+T192+T194+T196+T197+T198+T201+T199</f>
        <v>715.319</v>
      </c>
      <c r="U189" s="24">
        <f>U191+U192+U194+U196+U197+U198+U201+U199</f>
        <v>1445.825</v>
      </c>
      <c r="V189" s="3"/>
      <c r="W189" s="3"/>
      <c r="X189" s="3"/>
      <c r="Y189" s="3"/>
      <c r="Z189" s="3"/>
      <c r="AA189" s="3"/>
      <c r="AB189" s="3"/>
      <c r="AC189" s="3"/>
      <c r="AD189" s="3"/>
      <c r="AE189" s="19"/>
      <c r="AF189" s="19"/>
      <c r="AG189" s="19"/>
      <c r="AH189" s="19"/>
      <c r="AI189" s="19"/>
      <c r="AJ189" s="19"/>
    </row>
    <row r="190" spans="1:36" ht="12.75">
      <c r="A190" s="40"/>
      <c r="B190" s="40" t="s">
        <v>793</v>
      </c>
      <c r="C190" s="3"/>
      <c r="D190" s="3"/>
      <c r="E190" s="3"/>
      <c r="F190" s="3"/>
      <c r="G190" s="3"/>
      <c r="H190" s="28"/>
      <c r="I190" s="28"/>
      <c r="J190" s="28"/>
      <c r="K190" s="28"/>
      <c r="L190" s="8"/>
      <c r="M190" s="28"/>
      <c r="N190" s="8"/>
      <c r="O190" s="8"/>
      <c r="P190" s="8"/>
      <c r="Q190" s="8"/>
      <c r="R190" s="28"/>
      <c r="S190" s="28"/>
      <c r="T190" s="28"/>
      <c r="U190" s="28"/>
      <c r="V190" s="8"/>
      <c r="W190" s="8"/>
      <c r="X190" s="8"/>
      <c r="Y190" s="8"/>
      <c r="Z190" s="8"/>
      <c r="AA190" s="8"/>
      <c r="AB190" s="8"/>
      <c r="AC190" s="8"/>
      <c r="AD190" s="8"/>
      <c r="AE190" s="10"/>
      <c r="AF190" s="10"/>
      <c r="AG190" s="10"/>
      <c r="AH190" s="10"/>
      <c r="AI190" s="10"/>
      <c r="AJ190" s="10"/>
    </row>
    <row r="191" spans="1:36" ht="47.25" customHeight="1">
      <c r="A191" s="40"/>
      <c r="B191" s="13" t="s">
        <v>794</v>
      </c>
      <c r="C191" s="23">
        <v>353.999</v>
      </c>
      <c r="D191" s="23"/>
      <c r="E191" s="23">
        <v>142.45100000000002</v>
      </c>
      <c r="F191" s="23">
        <v>211.548</v>
      </c>
      <c r="G191" s="24"/>
      <c r="H191" s="23">
        <v>353.999</v>
      </c>
      <c r="I191" s="23"/>
      <c r="J191" s="23">
        <v>142.45100000000002</v>
      </c>
      <c r="K191" s="23">
        <v>211.548</v>
      </c>
      <c r="L191" s="8"/>
      <c r="M191" s="23"/>
      <c r="N191" s="8"/>
      <c r="O191" s="8"/>
      <c r="P191" s="8"/>
      <c r="Q191" s="8"/>
      <c r="R191" s="23">
        <v>353.999</v>
      </c>
      <c r="S191" s="23"/>
      <c r="T191" s="23">
        <v>142.45100000000002</v>
      </c>
      <c r="U191" s="23">
        <v>211.548</v>
      </c>
      <c r="V191" s="8"/>
      <c r="W191" s="8"/>
      <c r="X191" s="8"/>
      <c r="Y191" s="8"/>
      <c r="Z191" s="8"/>
      <c r="AA191" s="8"/>
      <c r="AB191" s="8"/>
      <c r="AC191" s="8"/>
      <c r="AD191" s="8"/>
      <c r="AE191" s="10">
        <v>2011</v>
      </c>
      <c r="AF191" s="10">
        <v>15</v>
      </c>
      <c r="AG191" s="10" t="s">
        <v>916</v>
      </c>
      <c r="AH191" s="6" t="s">
        <v>942</v>
      </c>
      <c r="AI191" s="10">
        <v>1.11</v>
      </c>
      <c r="AJ191" s="10"/>
    </row>
    <row r="192" spans="1:36" ht="47.25" customHeight="1">
      <c r="A192" s="40"/>
      <c r="B192" s="13" t="s">
        <v>795</v>
      </c>
      <c r="C192" s="23">
        <f>D192+E192+F192</f>
        <v>478.39</v>
      </c>
      <c r="D192" s="34">
        <v>97</v>
      </c>
      <c r="E192" s="23">
        <v>116.23599999999999</v>
      </c>
      <c r="F192" s="23">
        <v>265.154</v>
      </c>
      <c r="G192" s="24"/>
      <c r="H192" s="23">
        <f>I192+J192+K192</f>
        <v>478.394</v>
      </c>
      <c r="I192" s="23">
        <v>97.004</v>
      </c>
      <c r="J192" s="23">
        <v>116.23599999999999</v>
      </c>
      <c r="K192" s="23">
        <v>265.154</v>
      </c>
      <c r="L192" s="8"/>
      <c r="M192" s="23"/>
      <c r="N192" s="8"/>
      <c r="O192" s="8"/>
      <c r="P192" s="8"/>
      <c r="Q192" s="8"/>
      <c r="R192" s="23">
        <f>S192+T192+U192</f>
        <v>478.394</v>
      </c>
      <c r="S192" s="23">
        <v>97.004</v>
      </c>
      <c r="T192" s="23">
        <v>116.23599999999999</v>
      </c>
      <c r="U192" s="23">
        <v>265.154</v>
      </c>
      <c r="V192" s="8"/>
      <c r="W192" s="8"/>
      <c r="X192" s="8"/>
      <c r="Y192" s="8"/>
      <c r="Z192" s="8"/>
      <c r="AA192" s="8"/>
      <c r="AB192" s="8"/>
      <c r="AC192" s="8"/>
      <c r="AD192" s="8"/>
      <c r="AE192" s="10">
        <v>2011</v>
      </c>
      <c r="AF192" s="10">
        <v>15</v>
      </c>
      <c r="AG192" s="10" t="s">
        <v>916</v>
      </c>
      <c r="AH192" s="6" t="s">
        <v>942</v>
      </c>
      <c r="AI192" s="10">
        <v>0.98</v>
      </c>
      <c r="AJ192" s="10"/>
    </row>
    <row r="193" spans="1:36" ht="18.75" customHeight="1">
      <c r="A193" s="40"/>
      <c r="B193" s="40" t="s">
        <v>796</v>
      </c>
      <c r="C193" s="28"/>
      <c r="D193" s="28"/>
      <c r="E193" s="28"/>
      <c r="F193" s="28"/>
      <c r="G193" s="24"/>
      <c r="H193" s="28"/>
      <c r="I193" s="28"/>
      <c r="J193" s="28"/>
      <c r="K193" s="28"/>
      <c r="L193" s="8"/>
      <c r="M193" s="28"/>
      <c r="N193" s="8"/>
      <c r="O193" s="8"/>
      <c r="P193" s="8"/>
      <c r="Q193" s="8"/>
      <c r="R193" s="28"/>
      <c r="S193" s="28"/>
      <c r="T193" s="28"/>
      <c r="U193" s="28"/>
      <c r="V193" s="8"/>
      <c r="W193" s="8"/>
      <c r="X193" s="8"/>
      <c r="Y193" s="8"/>
      <c r="Z193" s="8"/>
      <c r="AA193" s="8"/>
      <c r="AB193" s="8"/>
      <c r="AC193" s="8"/>
      <c r="AD193" s="8"/>
      <c r="AE193" s="10"/>
      <c r="AF193" s="10"/>
      <c r="AG193" s="10"/>
      <c r="AH193" s="6"/>
      <c r="AI193" s="10"/>
      <c r="AJ193" s="10"/>
    </row>
    <row r="194" spans="1:36" ht="47.25" customHeight="1">
      <c r="A194" s="40"/>
      <c r="B194" s="13" t="s">
        <v>958</v>
      </c>
      <c r="C194" s="23">
        <f>164.639+63.424</f>
        <v>228.06300000000002</v>
      </c>
      <c r="D194" s="23"/>
      <c r="E194" s="23">
        <f>61.839+17.294</f>
        <v>79.133</v>
      </c>
      <c r="F194" s="23">
        <f>102.8+46.13</f>
        <v>148.93</v>
      </c>
      <c r="G194" s="24"/>
      <c r="H194" s="23">
        <f>164.639+63.424</f>
        <v>228.06300000000002</v>
      </c>
      <c r="I194" s="23"/>
      <c r="J194" s="23">
        <f>61.839+17.294</f>
        <v>79.133</v>
      </c>
      <c r="K194" s="23">
        <f>102.8+46.13</f>
        <v>148.93</v>
      </c>
      <c r="L194" s="8"/>
      <c r="M194" s="23"/>
      <c r="N194" s="8"/>
      <c r="O194" s="8"/>
      <c r="P194" s="8"/>
      <c r="Q194" s="8"/>
      <c r="R194" s="23">
        <f>164.639+63.424</f>
        <v>228.06300000000002</v>
      </c>
      <c r="S194" s="23"/>
      <c r="T194" s="23">
        <f>61.839+17.294</f>
        <v>79.133</v>
      </c>
      <c r="U194" s="23">
        <f>102.8+46.13</f>
        <v>148.93</v>
      </c>
      <c r="V194" s="8"/>
      <c r="W194" s="8"/>
      <c r="X194" s="8"/>
      <c r="Y194" s="8"/>
      <c r="Z194" s="8"/>
      <c r="AA194" s="8"/>
      <c r="AB194" s="8"/>
      <c r="AC194" s="8"/>
      <c r="AD194" s="8"/>
      <c r="AE194" s="10">
        <v>2011</v>
      </c>
      <c r="AF194" s="10">
        <v>15</v>
      </c>
      <c r="AG194" s="10" t="s">
        <v>916</v>
      </c>
      <c r="AH194" s="6" t="s">
        <v>953</v>
      </c>
      <c r="AI194" s="299">
        <f>0.364+0.136</f>
        <v>0.5</v>
      </c>
      <c r="AJ194" s="10"/>
    </row>
    <row r="195" spans="1:36" ht="20.25" customHeight="1">
      <c r="A195" s="40"/>
      <c r="B195" s="40" t="s">
        <v>798</v>
      </c>
      <c r="C195" s="23"/>
      <c r="D195" s="23"/>
      <c r="E195" s="23"/>
      <c r="F195" s="23"/>
      <c r="G195" s="24"/>
      <c r="H195" s="23"/>
      <c r="I195" s="23"/>
      <c r="J195" s="23"/>
      <c r="K195" s="23"/>
      <c r="L195" s="8"/>
      <c r="M195" s="23"/>
      <c r="N195" s="8"/>
      <c r="O195" s="8"/>
      <c r="P195" s="8"/>
      <c r="Q195" s="8"/>
      <c r="R195" s="23"/>
      <c r="S195" s="23"/>
      <c r="T195" s="23"/>
      <c r="U195" s="23"/>
      <c r="V195" s="8"/>
      <c r="W195" s="8"/>
      <c r="X195" s="8"/>
      <c r="Y195" s="8"/>
      <c r="Z195" s="8"/>
      <c r="AA195" s="8"/>
      <c r="AB195" s="8"/>
      <c r="AC195" s="8"/>
      <c r="AD195" s="8"/>
      <c r="AE195" s="10"/>
      <c r="AF195" s="10"/>
      <c r="AG195" s="10"/>
      <c r="AH195" s="6"/>
      <c r="AI195" s="299"/>
      <c r="AJ195" s="10"/>
    </row>
    <row r="196" spans="1:36" ht="48.75" customHeight="1">
      <c r="A196" s="40"/>
      <c r="B196" s="13" t="s">
        <v>959</v>
      </c>
      <c r="C196" s="23">
        <f>D196+E196+F196</f>
        <v>469.456</v>
      </c>
      <c r="D196" s="23">
        <v>79.644</v>
      </c>
      <c r="E196" s="23">
        <f>70.21+47.834</f>
        <v>118.044</v>
      </c>
      <c r="F196" s="23">
        <f>179.693+92.075</f>
        <v>271.76800000000003</v>
      </c>
      <c r="G196" s="24"/>
      <c r="H196" s="23">
        <f>I196+J196+K196</f>
        <v>467.675</v>
      </c>
      <c r="I196" s="23">
        <v>77.863</v>
      </c>
      <c r="J196" s="23">
        <f>70.21+47.834</f>
        <v>118.044</v>
      </c>
      <c r="K196" s="23">
        <f>179.693+92.075</f>
        <v>271.76800000000003</v>
      </c>
      <c r="L196" s="8"/>
      <c r="M196" s="23"/>
      <c r="N196" s="8"/>
      <c r="O196" s="8"/>
      <c r="P196" s="8"/>
      <c r="Q196" s="8"/>
      <c r="R196" s="23">
        <f>S196+T196+U196</f>
        <v>467.675</v>
      </c>
      <c r="S196" s="23">
        <v>77.863</v>
      </c>
      <c r="T196" s="23">
        <f>70.21+47.834</f>
        <v>118.044</v>
      </c>
      <c r="U196" s="23">
        <f>179.693+92.075</f>
        <v>271.76800000000003</v>
      </c>
      <c r="V196" s="8"/>
      <c r="W196" s="8"/>
      <c r="X196" s="8"/>
      <c r="Y196" s="8"/>
      <c r="Z196" s="8"/>
      <c r="AA196" s="8"/>
      <c r="AB196" s="8"/>
      <c r="AC196" s="8"/>
      <c r="AD196" s="8"/>
      <c r="AE196" s="10">
        <v>2011</v>
      </c>
      <c r="AF196" s="10">
        <v>15</v>
      </c>
      <c r="AG196" s="10" t="s">
        <v>916</v>
      </c>
      <c r="AH196" s="6" t="s">
        <v>953</v>
      </c>
      <c r="AI196" s="299">
        <f>0.5+0.47</f>
        <v>0.97</v>
      </c>
      <c r="AJ196" s="10"/>
    </row>
    <row r="197" spans="1:36" ht="12.75">
      <c r="A197" s="40"/>
      <c r="B197" s="13" t="s">
        <v>800</v>
      </c>
      <c r="C197" s="23">
        <v>238.378</v>
      </c>
      <c r="D197" s="23"/>
      <c r="E197" s="23">
        <v>63.32</v>
      </c>
      <c r="F197" s="23">
        <v>175.058</v>
      </c>
      <c r="G197" s="3"/>
      <c r="H197" s="23">
        <v>238.378</v>
      </c>
      <c r="I197" s="23"/>
      <c r="J197" s="23">
        <v>63.32</v>
      </c>
      <c r="K197" s="23">
        <v>175.058</v>
      </c>
      <c r="L197" s="8"/>
      <c r="M197" s="23"/>
      <c r="N197" s="8"/>
      <c r="O197" s="8"/>
      <c r="P197" s="8"/>
      <c r="Q197" s="8"/>
      <c r="R197" s="23">
        <v>238.378</v>
      </c>
      <c r="S197" s="23"/>
      <c r="T197" s="23">
        <v>63.32</v>
      </c>
      <c r="U197" s="23">
        <v>175.058</v>
      </c>
      <c r="V197" s="8"/>
      <c r="W197" s="8"/>
      <c r="X197" s="8"/>
      <c r="Y197" s="8"/>
      <c r="Z197" s="8"/>
      <c r="AA197" s="8"/>
      <c r="AB197" s="8"/>
      <c r="AC197" s="8"/>
      <c r="AD197" s="8"/>
      <c r="AE197" s="10">
        <v>2011</v>
      </c>
      <c r="AF197" s="10">
        <v>15</v>
      </c>
      <c r="AG197" s="10" t="s">
        <v>916</v>
      </c>
      <c r="AH197" s="6" t="s">
        <v>953</v>
      </c>
      <c r="AI197" s="10">
        <v>0.72</v>
      </c>
      <c r="AJ197" s="10"/>
    </row>
    <row r="198" spans="1:36" ht="43.5" customHeight="1">
      <c r="A198" s="40"/>
      <c r="B198" s="13" t="s">
        <v>801</v>
      </c>
      <c r="C198" s="23">
        <f>D198+E198+F198</f>
        <v>173.963</v>
      </c>
      <c r="D198" s="23">
        <v>33</v>
      </c>
      <c r="E198" s="23">
        <v>42.840999999999994</v>
      </c>
      <c r="F198" s="23">
        <v>98.122</v>
      </c>
      <c r="G198" s="3"/>
      <c r="H198" s="23">
        <f>I198+J198+K198</f>
        <v>173.962</v>
      </c>
      <c r="I198" s="23">
        <v>32.999</v>
      </c>
      <c r="J198" s="23">
        <v>42.840999999999994</v>
      </c>
      <c r="K198" s="23">
        <v>98.122</v>
      </c>
      <c r="L198" s="8"/>
      <c r="M198" s="23"/>
      <c r="N198" s="8"/>
      <c r="O198" s="8"/>
      <c r="P198" s="8"/>
      <c r="Q198" s="8"/>
      <c r="R198" s="23">
        <f>S198+T198+U198</f>
        <v>173.962</v>
      </c>
      <c r="S198" s="23">
        <v>32.999</v>
      </c>
      <c r="T198" s="23">
        <v>42.840999999999994</v>
      </c>
      <c r="U198" s="23">
        <v>98.122</v>
      </c>
      <c r="V198" s="8"/>
      <c r="W198" s="8"/>
      <c r="X198" s="8"/>
      <c r="Y198" s="8"/>
      <c r="Z198" s="8"/>
      <c r="AA198" s="8"/>
      <c r="AB198" s="8"/>
      <c r="AC198" s="8"/>
      <c r="AD198" s="8"/>
      <c r="AE198" s="10">
        <v>2011</v>
      </c>
      <c r="AF198" s="10">
        <v>15</v>
      </c>
      <c r="AG198" s="10" t="s">
        <v>916</v>
      </c>
      <c r="AH198" s="6" t="s">
        <v>943</v>
      </c>
      <c r="AI198" s="10">
        <v>0.25</v>
      </c>
      <c r="AJ198" s="10"/>
    </row>
    <row r="199" spans="1:36" ht="43.5" customHeight="1">
      <c r="A199" s="40"/>
      <c r="B199" s="154" t="s">
        <v>802</v>
      </c>
      <c r="C199" s="34">
        <f>D199+E199+F199</f>
        <v>274</v>
      </c>
      <c r="D199" s="34">
        <v>70</v>
      </c>
      <c r="E199" s="23">
        <v>81.6</v>
      </c>
      <c r="F199" s="23">
        <v>122.4</v>
      </c>
      <c r="G199" s="3"/>
      <c r="H199" s="23">
        <f>I199+J199+K199</f>
        <v>341.99</v>
      </c>
      <c r="I199" s="23">
        <v>70.001</v>
      </c>
      <c r="J199" s="23">
        <v>105.486</v>
      </c>
      <c r="K199" s="23">
        <v>166.503</v>
      </c>
      <c r="L199" s="8"/>
      <c r="M199" s="23"/>
      <c r="N199" s="8"/>
      <c r="O199" s="8"/>
      <c r="P199" s="8"/>
      <c r="Q199" s="8"/>
      <c r="R199" s="23">
        <f>S199+T199+U199</f>
        <v>341.99</v>
      </c>
      <c r="S199" s="23">
        <v>70.001</v>
      </c>
      <c r="T199" s="23">
        <v>105.486</v>
      </c>
      <c r="U199" s="23">
        <v>166.503</v>
      </c>
      <c r="V199" s="8"/>
      <c r="W199" s="8"/>
      <c r="X199" s="8"/>
      <c r="Y199" s="8"/>
      <c r="Z199" s="8"/>
      <c r="AA199" s="8"/>
      <c r="AB199" s="8"/>
      <c r="AC199" s="8"/>
      <c r="AD199" s="8"/>
      <c r="AE199" s="10">
        <v>2011</v>
      </c>
      <c r="AF199" s="10">
        <v>15</v>
      </c>
      <c r="AG199" s="10" t="s">
        <v>916</v>
      </c>
      <c r="AH199" s="6" t="s">
        <v>943</v>
      </c>
      <c r="AI199" s="10">
        <v>0.6000000000000001</v>
      </c>
      <c r="AJ199" s="10"/>
    </row>
    <row r="200" spans="1:36" ht="12.75">
      <c r="A200" s="40"/>
      <c r="B200" s="40" t="s">
        <v>803</v>
      </c>
      <c r="C200" s="23"/>
      <c r="D200" s="23"/>
      <c r="E200" s="23"/>
      <c r="F200" s="23"/>
      <c r="G200" s="3"/>
      <c r="H200" s="23"/>
      <c r="I200" s="23"/>
      <c r="J200" s="23"/>
      <c r="K200" s="23"/>
      <c r="L200" s="8"/>
      <c r="M200" s="23"/>
      <c r="N200" s="8"/>
      <c r="O200" s="8"/>
      <c r="P200" s="8"/>
      <c r="Q200" s="8"/>
      <c r="R200" s="23"/>
      <c r="S200" s="23"/>
      <c r="T200" s="23"/>
      <c r="U200" s="23"/>
      <c r="V200" s="8"/>
      <c r="W200" s="8"/>
      <c r="X200" s="8"/>
      <c r="Y200" s="8"/>
      <c r="Z200" s="8"/>
      <c r="AA200" s="8"/>
      <c r="AB200" s="8"/>
      <c r="AC200" s="8"/>
      <c r="AD200" s="8"/>
      <c r="AE200" s="10"/>
      <c r="AF200" s="10"/>
      <c r="AG200" s="10"/>
      <c r="AH200" s="6"/>
      <c r="AI200" s="10"/>
      <c r="AJ200" s="10"/>
    </row>
    <row r="201" spans="1:36" ht="12.75">
      <c r="A201" s="40"/>
      <c r="B201" s="13" t="s">
        <v>804</v>
      </c>
      <c r="C201" s="23">
        <f>D201+E201+F201</f>
        <v>189.55</v>
      </c>
      <c r="D201" s="23">
        <v>33</v>
      </c>
      <c r="E201" s="23">
        <v>47.80800000000001</v>
      </c>
      <c r="F201" s="23">
        <v>108.742</v>
      </c>
      <c r="G201" s="3"/>
      <c r="H201" s="23">
        <f>I201+J201+K201</f>
        <v>189.551</v>
      </c>
      <c r="I201" s="23">
        <v>33.001</v>
      </c>
      <c r="J201" s="23">
        <v>47.80800000000001</v>
      </c>
      <c r="K201" s="23">
        <v>108.742</v>
      </c>
      <c r="L201" s="8"/>
      <c r="M201" s="23"/>
      <c r="N201" s="8"/>
      <c r="O201" s="8"/>
      <c r="P201" s="8"/>
      <c r="Q201" s="8"/>
      <c r="R201" s="23">
        <f>S201+T201+U201</f>
        <v>189.551</v>
      </c>
      <c r="S201" s="23">
        <v>33.001</v>
      </c>
      <c r="T201" s="23">
        <v>47.80800000000001</v>
      </c>
      <c r="U201" s="23">
        <v>108.742</v>
      </c>
      <c r="V201" s="8"/>
      <c r="W201" s="8"/>
      <c r="X201" s="8"/>
      <c r="Y201" s="8"/>
      <c r="Z201" s="8"/>
      <c r="AA201" s="8"/>
      <c r="AB201" s="8"/>
      <c r="AC201" s="8"/>
      <c r="AD201" s="8"/>
      <c r="AE201" s="10">
        <v>2011</v>
      </c>
      <c r="AF201" s="10">
        <v>15</v>
      </c>
      <c r="AG201" s="10" t="s">
        <v>916</v>
      </c>
      <c r="AH201" s="6" t="s">
        <v>943</v>
      </c>
      <c r="AI201" s="10">
        <v>0.25</v>
      </c>
      <c r="AJ201" s="10"/>
    </row>
    <row r="202" spans="1:36" s="20" customFormat="1" ht="12.75">
      <c r="A202" s="40"/>
      <c r="B202" s="240" t="s">
        <v>169</v>
      </c>
      <c r="C202" s="24">
        <f>C204+C205+C206+C208+C210+C211</f>
        <v>2291.224</v>
      </c>
      <c r="D202" s="24">
        <f>D204+D205+D206+D208+D210+D211</f>
        <v>302.067</v>
      </c>
      <c r="E202" s="24">
        <f>E204+E205+E206+E208+E210+E211</f>
        <v>644.063</v>
      </c>
      <c r="F202" s="24">
        <f>F204+F205+F206+F208+F210+F211</f>
        <v>1345.0939999999998</v>
      </c>
      <c r="G202" s="3"/>
      <c r="H202" s="24">
        <f>H204+H205+H206+H208+H210+H211</f>
        <v>2430.635</v>
      </c>
      <c r="I202" s="24">
        <f>I204+I205+I206+I208+I210+I211</f>
        <v>323.174</v>
      </c>
      <c r="J202" s="24">
        <f>J204+J205+J206+J208+J210+J211</f>
        <v>606.67</v>
      </c>
      <c r="K202" s="24">
        <f>K204+K205+K206+K208+K210+K211</f>
        <v>1500.791</v>
      </c>
      <c r="L202" s="24"/>
      <c r="M202" s="24"/>
      <c r="N202" s="24"/>
      <c r="O202" s="24"/>
      <c r="P202" s="24"/>
      <c r="Q202" s="24"/>
      <c r="R202" s="24">
        <f>R204+R205+R206+R208+R210+R211</f>
        <v>2430.635</v>
      </c>
      <c r="S202" s="24">
        <f>S204+S205+S206+S208+S210+S211</f>
        <v>323.174</v>
      </c>
      <c r="T202" s="24">
        <f>T204+T205+T206+T208+T210+T211</f>
        <v>606.67</v>
      </c>
      <c r="U202" s="24">
        <f>U204+U205+U206+U208+U210+U211</f>
        <v>1500.791</v>
      </c>
      <c r="V202" s="3"/>
      <c r="W202" s="3"/>
      <c r="X202" s="3"/>
      <c r="Y202" s="3"/>
      <c r="Z202" s="3"/>
      <c r="AA202" s="3"/>
      <c r="AB202" s="3"/>
      <c r="AC202" s="3"/>
      <c r="AD202" s="3"/>
      <c r="AE202" s="19"/>
      <c r="AF202" s="19"/>
      <c r="AG202" s="19"/>
      <c r="AH202" s="19"/>
      <c r="AI202" s="19"/>
      <c r="AJ202" s="19"/>
    </row>
    <row r="203" spans="1:36" ht="12.75">
      <c r="A203" s="313"/>
      <c r="B203" s="40" t="s">
        <v>805</v>
      </c>
      <c r="C203" s="8"/>
      <c r="D203" s="8"/>
      <c r="E203" s="8"/>
      <c r="F203" s="8"/>
      <c r="G203" s="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8"/>
      <c r="W203" s="8"/>
      <c r="X203" s="8"/>
      <c r="Y203" s="8"/>
      <c r="Z203" s="8"/>
      <c r="AA203" s="8"/>
      <c r="AB203" s="8"/>
      <c r="AC203" s="8"/>
      <c r="AD203" s="8"/>
      <c r="AE203" s="10"/>
      <c r="AF203" s="10"/>
      <c r="AG203" s="10"/>
      <c r="AH203" s="10"/>
      <c r="AI203" s="10"/>
      <c r="AJ203" s="10"/>
    </row>
    <row r="204" spans="1:36" ht="12.75">
      <c r="A204" s="40"/>
      <c r="B204" s="13" t="s">
        <v>806</v>
      </c>
      <c r="C204" s="23">
        <v>317.749</v>
      </c>
      <c r="D204" s="23"/>
      <c r="E204" s="23">
        <v>128.25100000000003</v>
      </c>
      <c r="F204" s="23">
        <v>189.498</v>
      </c>
      <c r="G204" s="3"/>
      <c r="H204" s="23">
        <v>317.749</v>
      </c>
      <c r="I204" s="23"/>
      <c r="J204" s="23">
        <v>128.25100000000003</v>
      </c>
      <c r="K204" s="23">
        <v>189.498</v>
      </c>
      <c r="L204" s="8"/>
      <c r="M204" s="23"/>
      <c r="N204" s="8"/>
      <c r="O204" s="8"/>
      <c r="P204" s="8"/>
      <c r="Q204" s="8"/>
      <c r="R204" s="23">
        <v>317.749</v>
      </c>
      <c r="S204" s="23"/>
      <c r="T204" s="23">
        <v>128.25100000000003</v>
      </c>
      <c r="U204" s="23">
        <v>189.498</v>
      </c>
      <c r="V204" s="8"/>
      <c r="W204" s="8"/>
      <c r="X204" s="8"/>
      <c r="Y204" s="8"/>
      <c r="Z204" s="8"/>
      <c r="AA204" s="8"/>
      <c r="AB204" s="8"/>
      <c r="AC204" s="8"/>
      <c r="AD204" s="8"/>
      <c r="AE204" s="10">
        <v>2011</v>
      </c>
      <c r="AF204" s="10">
        <v>15</v>
      </c>
      <c r="AG204" s="10" t="s">
        <v>916</v>
      </c>
      <c r="AH204" s="6" t="s">
        <v>943</v>
      </c>
      <c r="AI204" s="10">
        <v>0.78</v>
      </c>
      <c r="AJ204" s="10"/>
    </row>
    <row r="205" spans="1:36" ht="12.75">
      <c r="A205" s="40"/>
      <c r="B205" s="13" t="s">
        <v>807</v>
      </c>
      <c r="C205" s="23">
        <v>277.202</v>
      </c>
      <c r="D205" s="28"/>
      <c r="E205" s="23">
        <v>93.404</v>
      </c>
      <c r="F205" s="23">
        <v>183.798</v>
      </c>
      <c r="G205" s="3"/>
      <c r="H205" s="23">
        <v>277.202</v>
      </c>
      <c r="I205" s="28"/>
      <c r="J205" s="23">
        <v>93.404</v>
      </c>
      <c r="K205" s="23">
        <v>183.798</v>
      </c>
      <c r="L205" s="8"/>
      <c r="M205" s="23"/>
      <c r="N205" s="8"/>
      <c r="O205" s="8"/>
      <c r="P205" s="8"/>
      <c r="Q205" s="8"/>
      <c r="R205" s="23">
        <v>277.202</v>
      </c>
      <c r="S205" s="28"/>
      <c r="T205" s="23">
        <v>93.404</v>
      </c>
      <c r="U205" s="23">
        <v>183.798</v>
      </c>
      <c r="V205" s="8"/>
      <c r="W205" s="8"/>
      <c r="X205" s="8"/>
      <c r="Y205" s="8"/>
      <c r="Z205" s="8"/>
      <c r="AA205" s="8"/>
      <c r="AB205" s="8"/>
      <c r="AC205" s="8"/>
      <c r="AD205" s="8"/>
      <c r="AE205" s="10">
        <v>2011</v>
      </c>
      <c r="AF205" s="10">
        <v>15</v>
      </c>
      <c r="AG205" s="10" t="s">
        <v>916</v>
      </c>
      <c r="AH205" s="6" t="s">
        <v>942</v>
      </c>
      <c r="AI205" s="10">
        <v>0.75</v>
      </c>
      <c r="AJ205" s="10"/>
    </row>
    <row r="206" spans="1:36" ht="12.75">
      <c r="A206" s="40"/>
      <c r="B206" s="13" t="s">
        <v>808</v>
      </c>
      <c r="C206" s="23">
        <v>91.548</v>
      </c>
      <c r="D206" s="28"/>
      <c r="E206" s="23">
        <f>C206-F206</f>
        <v>43.187000000000005</v>
      </c>
      <c r="F206" s="23">
        <v>48.361</v>
      </c>
      <c r="G206" s="3"/>
      <c r="H206" s="23">
        <v>91.548</v>
      </c>
      <c r="I206" s="28"/>
      <c r="J206" s="23">
        <f>H206-K206</f>
        <v>43.187000000000005</v>
      </c>
      <c r="K206" s="23">
        <v>48.361</v>
      </c>
      <c r="L206" s="8"/>
      <c r="M206" s="23"/>
      <c r="N206" s="8"/>
      <c r="O206" s="8"/>
      <c r="P206" s="8"/>
      <c r="Q206" s="8"/>
      <c r="R206" s="23">
        <v>91.548</v>
      </c>
      <c r="S206" s="23"/>
      <c r="T206" s="23">
        <f>R206-U206</f>
        <v>43.187000000000005</v>
      </c>
      <c r="U206" s="23">
        <v>48.361</v>
      </c>
      <c r="V206" s="8"/>
      <c r="W206" s="8"/>
      <c r="X206" s="8"/>
      <c r="Y206" s="8"/>
      <c r="Z206" s="8"/>
      <c r="AA206" s="8"/>
      <c r="AB206" s="8"/>
      <c r="AC206" s="8"/>
      <c r="AD206" s="8"/>
      <c r="AE206" s="10">
        <v>2011</v>
      </c>
      <c r="AF206" s="10">
        <v>15</v>
      </c>
      <c r="AG206" s="10" t="s">
        <v>916</v>
      </c>
      <c r="AH206" s="6" t="s">
        <v>960</v>
      </c>
      <c r="AI206" s="10">
        <v>0.63</v>
      </c>
      <c r="AJ206" s="10"/>
    </row>
    <row r="207" spans="1:36" ht="12.75">
      <c r="A207" s="40"/>
      <c r="B207" s="40" t="s">
        <v>809</v>
      </c>
      <c r="C207" s="28"/>
      <c r="D207" s="28"/>
      <c r="E207" s="23"/>
      <c r="F207" s="23"/>
      <c r="G207" s="3"/>
      <c r="H207" s="28"/>
      <c r="I207" s="28"/>
      <c r="J207" s="23"/>
      <c r="K207" s="23"/>
      <c r="L207" s="8"/>
      <c r="M207" s="23"/>
      <c r="N207" s="8"/>
      <c r="O207" s="8"/>
      <c r="P207" s="8"/>
      <c r="Q207" s="8"/>
      <c r="R207" s="28"/>
      <c r="S207" s="28"/>
      <c r="T207" s="28"/>
      <c r="U207" s="28"/>
      <c r="V207" s="8"/>
      <c r="W207" s="8"/>
      <c r="X207" s="8"/>
      <c r="Y207" s="8"/>
      <c r="Z207" s="8"/>
      <c r="AA207" s="8"/>
      <c r="AB207" s="8"/>
      <c r="AC207" s="8"/>
      <c r="AD207" s="8"/>
      <c r="AE207" s="10"/>
      <c r="AF207" s="10"/>
      <c r="AG207" s="10"/>
      <c r="AH207" s="6"/>
      <c r="AI207" s="10"/>
      <c r="AJ207" s="10"/>
    </row>
    <row r="208" spans="1:36" ht="12.75">
      <c r="A208" s="40"/>
      <c r="B208" s="13" t="s">
        <v>810</v>
      </c>
      <c r="C208" s="167">
        <f>D208+E208+F208</f>
        <v>629.387</v>
      </c>
      <c r="D208" s="23">
        <v>121.723</v>
      </c>
      <c r="E208" s="23">
        <v>187.31099999999998</v>
      </c>
      <c r="F208" s="23">
        <v>320.353</v>
      </c>
      <c r="G208" s="3"/>
      <c r="H208" s="167">
        <f>I208+J208+K208</f>
        <v>619.912</v>
      </c>
      <c r="I208" s="23">
        <v>112.248</v>
      </c>
      <c r="J208" s="23">
        <v>187.31099999999998</v>
      </c>
      <c r="K208" s="23">
        <v>320.353</v>
      </c>
      <c r="L208" s="8"/>
      <c r="M208" s="23"/>
      <c r="N208" s="8"/>
      <c r="O208" s="8"/>
      <c r="P208" s="8"/>
      <c r="Q208" s="8"/>
      <c r="R208" s="167">
        <f>S208+T208+U208</f>
        <v>619.912</v>
      </c>
      <c r="S208" s="23">
        <v>112.248</v>
      </c>
      <c r="T208" s="23">
        <v>187.31099999999998</v>
      </c>
      <c r="U208" s="23">
        <v>320.353</v>
      </c>
      <c r="V208" s="8"/>
      <c r="W208" s="8"/>
      <c r="X208" s="8"/>
      <c r="Y208" s="8"/>
      <c r="Z208" s="8"/>
      <c r="AA208" s="8"/>
      <c r="AB208" s="8"/>
      <c r="AC208" s="8"/>
      <c r="AD208" s="8"/>
      <c r="AE208" s="10">
        <v>2011</v>
      </c>
      <c r="AF208" s="10">
        <v>15</v>
      </c>
      <c r="AG208" s="10" t="s">
        <v>916</v>
      </c>
      <c r="AH208" s="6" t="s">
        <v>942</v>
      </c>
      <c r="AI208" s="10">
        <v>1.2</v>
      </c>
      <c r="AJ208" s="10"/>
    </row>
    <row r="209" spans="1:36" ht="12.75">
      <c r="A209" s="40"/>
      <c r="B209" s="40" t="s">
        <v>811</v>
      </c>
      <c r="C209" s="28"/>
      <c r="D209" s="28"/>
      <c r="E209" s="28"/>
      <c r="F209" s="28"/>
      <c r="G209" s="3"/>
      <c r="H209" s="28"/>
      <c r="I209" s="28"/>
      <c r="J209" s="28"/>
      <c r="K209" s="28"/>
      <c r="L209" s="8"/>
      <c r="M209" s="28"/>
      <c r="N209" s="8"/>
      <c r="O209" s="8"/>
      <c r="P209" s="8"/>
      <c r="Q209" s="8"/>
      <c r="R209" s="28"/>
      <c r="S209" s="28"/>
      <c r="T209" s="28"/>
      <c r="U209" s="28"/>
      <c r="V209" s="8"/>
      <c r="W209" s="8"/>
      <c r="X209" s="8"/>
      <c r="Y209" s="8"/>
      <c r="Z209" s="8"/>
      <c r="AA209" s="8"/>
      <c r="AB209" s="8"/>
      <c r="AC209" s="8"/>
      <c r="AD209" s="8"/>
      <c r="AE209" s="10"/>
      <c r="AF209" s="10"/>
      <c r="AG209" s="10"/>
      <c r="AH209" s="6"/>
      <c r="AI209" s="10"/>
      <c r="AJ209" s="10"/>
    </row>
    <row r="210" spans="1:36" ht="12.75">
      <c r="A210" s="40"/>
      <c r="B210" s="13" t="s">
        <v>961</v>
      </c>
      <c r="C210" s="167">
        <f>D210+E210+F210</f>
        <v>699.338</v>
      </c>
      <c r="D210" s="23">
        <v>110.344</v>
      </c>
      <c r="E210" s="23">
        <v>109.51000000000005</v>
      </c>
      <c r="F210" s="23">
        <v>479.484</v>
      </c>
      <c r="G210" s="3"/>
      <c r="H210" s="167">
        <f>I210+J210+K210</f>
        <v>729.9200000000001</v>
      </c>
      <c r="I210" s="23">
        <v>140.926</v>
      </c>
      <c r="J210" s="23">
        <v>109.51000000000005</v>
      </c>
      <c r="K210" s="23">
        <v>479.484</v>
      </c>
      <c r="L210" s="8"/>
      <c r="M210" s="23"/>
      <c r="N210" s="8"/>
      <c r="O210" s="8"/>
      <c r="P210" s="8"/>
      <c r="Q210" s="8"/>
      <c r="R210" s="167">
        <f>S210+T210+U210</f>
        <v>729.9200000000001</v>
      </c>
      <c r="S210" s="23">
        <v>140.926</v>
      </c>
      <c r="T210" s="23">
        <v>109.51000000000005</v>
      </c>
      <c r="U210" s="23">
        <v>479.484</v>
      </c>
      <c r="V210" s="8"/>
      <c r="W210" s="8"/>
      <c r="X210" s="8"/>
      <c r="Y210" s="8"/>
      <c r="Z210" s="8"/>
      <c r="AA210" s="8"/>
      <c r="AB210" s="8"/>
      <c r="AC210" s="8"/>
      <c r="AD210" s="8"/>
      <c r="AE210" s="10">
        <v>2011</v>
      </c>
      <c r="AF210" s="10">
        <v>15</v>
      </c>
      <c r="AG210" s="10" t="s">
        <v>916</v>
      </c>
      <c r="AH210" s="6" t="s">
        <v>957</v>
      </c>
      <c r="AI210" s="299">
        <f>1.168+0.085</f>
        <v>1.253</v>
      </c>
      <c r="AJ210" s="10"/>
    </row>
    <row r="211" spans="1:36" ht="12.75">
      <c r="A211" s="40"/>
      <c r="B211" s="154" t="s">
        <v>813</v>
      </c>
      <c r="C211" s="167">
        <f>D211+E211+F211</f>
        <v>276</v>
      </c>
      <c r="D211" s="28">
        <v>70</v>
      </c>
      <c r="E211" s="23">
        <v>82.4</v>
      </c>
      <c r="F211" s="23">
        <v>123.6</v>
      </c>
      <c r="G211" s="3"/>
      <c r="H211" s="167">
        <f>J211+K211+I211</f>
        <v>394.304</v>
      </c>
      <c r="I211" s="28">
        <v>70</v>
      </c>
      <c r="J211" s="23">
        <f>36.839+8.168</f>
        <v>45.007</v>
      </c>
      <c r="K211" s="23">
        <f>215.82+63.477</f>
        <v>279.29699999999997</v>
      </c>
      <c r="L211" s="8"/>
      <c r="M211" s="23"/>
      <c r="N211" s="8"/>
      <c r="O211" s="8"/>
      <c r="P211" s="8"/>
      <c r="Q211" s="8"/>
      <c r="R211" s="167">
        <f>T211+U211+S211</f>
        <v>394.304</v>
      </c>
      <c r="S211" s="28">
        <v>70</v>
      </c>
      <c r="T211" s="23">
        <f>36.839+8.168</f>
        <v>45.007</v>
      </c>
      <c r="U211" s="23">
        <f>215.82+63.477</f>
        <v>279.29699999999997</v>
      </c>
      <c r="V211" s="8"/>
      <c r="W211" s="8"/>
      <c r="X211" s="8"/>
      <c r="Y211" s="8"/>
      <c r="Z211" s="8"/>
      <c r="AA211" s="8"/>
      <c r="AB211" s="8"/>
      <c r="AC211" s="8"/>
      <c r="AD211" s="8"/>
      <c r="AE211" s="10">
        <v>2011</v>
      </c>
      <c r="AF211" s="10">
        <v>15</v>
      </c>
      <c r="AG211" s="10" t="s">
        <v>916</v>
      </c>
      <c r="AH211" s="6" t="s">
        <v>962</v>
      </c>
      <c r="AI211" s="10">
        <f>0.75+0.06</f>
        <v>0.81</v>
      </c>
      <c r="AJ211" s="10"/>
    </row>
    <row r="212" spans="1:36" s="162" customFormat="1" ht="12.75">
      <c r="A212" s="145" t="s">
        <v>173</v>
      </c>
      <c r="B212" s="213" t="s">
        <v>174</v>
      </c>
      <c r="C212" s="147">
        <f>F212</f>
        <v>9016.961</v>
      </c>
      <c r="D212" s="147"/>
      <c r="E212" s="147"/>
      <c r="F212" s="147">
        <v>9016.961</v>
      </c>
      <c r="G212" s="146"/>
      <c r="H212" s="147">
        <f>K212</f>
        <v>9165.159</v>
      </c>
      <c r="I212" s="146"/>
      <c r="J212" s="146"/>
      <c r="K212" s="147">
        <v>9165.159</v>
      </c>
      <c r="L212" s="146"/>
      <c r="M212" s="146"/>
      <c r="N212" s="146"/>
      <c r="O212" s="146"/>
      <c r="P212" s="146"/>
      <c r="Q212" s="146"/>
      <c r="R212" s="147">
        <f>U212</f>
        <v>9165.159</v>
      </c>
      <c r="S212" s="146"/>
      <c r="T212" s="146"/>
      <c r="U212" s="147">
        <v>9165.159</v>
      </c>
      <c r="V212" s="146"/>
      <c r="W212" s="146"/>
      <c r="X212" s="146"/>
      <c r="Y212" s="146"/>
      <c r="Z212" s="146"/>
      <c r="AA212" s="146"/>
      <c r="AB212" s="146"/>
      <c r="AC212" s="146"/>
      <c r="AD212" s="146"/>
      <c r="AE212" s="160"/>
      <c r="AF212" s="160"/>
      <c r="AG212" s="160"/>
      <c r="AH212" s="160"/>
      <c r="AI212" s="160"/>
      <c r="AJ212" s="160"/>
    </row>
    <row r="213" spans="1:36" ht="12.75">
      <c r="A213" s="40"/>
      <c r="B213" s="40"/>
      <c r="C213" s="3"/>
      <c r="D213" s="3"/>
      <c r="E213" s="3"/>
      <c r="F213" s="3"/>
      <c r="G213" s="3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10"/>
      <c r="AF213" s="10"/>
      <c r="AG213" s="10"/>
      <c r="AH213" s="10"/>
      <c r="AI213" s="10"/>
      <c r="AJ213" s="10"/>
    </row>
    <row r="214" spans="1:36" ht="12.75">
      <c r="A214" s="11" t="s">
        <v>213</v>
      </c>
      <c r="B214" s="11" t="s">
        <v>214</v>
      </c>
      <c r="C214" s="24"/>
      <c r="D214" s="3"/>
      <c r="E214" s="320"/>
      <c r="F214" s="3"/>
      <c r="G214" s="3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10"/>
      <c r="AF214" s="10"/>
      <c r="AG214" s="10"/>
      <c r="AH214" s="10"/>
      <c r="AI214" s="10"/>
      <c r="AJ214" s="10"/>
    </row>
    <row r="215" spans="1:36" s="151" customFormat="1" ht="12.75">
      <c r="A215" s="145" t="s">
        <v>513</v>
      </c>
      <c r="B215" s="213" t="s">
        <v>814</v>
      </c>
      <c r="C215" s="147">
        <f>C216+C228</f>
        <v>1201.304</v>
      </c>
      <c r="D215" s="146"/>
      <c r="E215" s="147">
        <f>E216+E228</f>
        <v>80.12400000000001</v>
      </c>
      <c r="F215" s="147">
        <f>F216+F228</f>
        <v>1121.1799999999998</v>
      </c>
      <c r="G215" s="146"/>
      <c r="H215" s="147">
        <f>H216+H228</f>
        <v>1199.7620000000002</v>
      </c>
      <c r="I215" s="146"/>
      <c r="J215" s="147">
        <f>J216+J228</f>
        <v>432.314</v>
      </c>
      <c r="K215" s="147">
        <f>K216+K228</f>
        <v>767.9839999999999</v>
      </c>
      <c r="L215" s="168"/>
      <c r="M215" s="168"/>
      <c r="N215" s="168"/>
      <c r="O215" s="168"/>
      <c r="P215" s="168"/>
      <c r="Q215" s="168"/>
      <c r="R215" s="147">
        <f>R216+R228</f>
        <v>1199.7620000000002</v>
      </c>
      <c r="S215" s="146"/>
      <c r="T215" s="147">
        <f>T216+T228</f>
        <v>432.314</v>
      </c>
      <c r="U215" s="147">
        <f>U216+U228</f>
        <v>767.9839999999999</v>
      </c>
      <c r="V215" s="168"/>
      <c r="W215" s="168"/>
      <c r="X215" s="168"/>
      <c r="Y215" s="168"/>
      <c r="Z215" s="168"/>
      <c r="AA215" s="168"/>
      <c r="AB215" s="168"/>
      <c r="AC215" s="168"/>
      <c r="AD215" s="168"/>
      <c r="AE215" s="149"/>
      <c r="AF215" s="149"/>
      <c r="AG215" s="149"/>
      <c r="AH215" s="149"/>
      <c r="AI215" s="149"/>
      <c r="AJ215" s="149"/>
    </row>
    <row r="216" spans="1:36" s="20" customFormat="1" ht="12.75">
      <c r="A216" s="11"/>
      <c r="B216" s="312" t="s">
        <v>35</v>
      </c>
      <c r="C216" s="24">
        <f>C217+C218+C219+C220+C221+C222+C223+C224+C225+C226+C227</f>
        <v>961.0240000000001</v>
      </c>
      <c r="D216" s="163"/>
      <c r="E216" s="24">
        <f>E217+E218+E219+E220+E221+E222+E223+E224+E225+E226+E227</f>
        <v>64.08</v>
      </c>
      <c r="F216" s="24">
        <f>F217+F218+F219+F220+F221+F222+F223+F224+F225+F226+F227</f>
        <v>896.9439999999997</v>
      </c>
      <c r="G216" s="3"/>
      <c r="H216" s="24">
        <f>H217+H218+H219+H220+H221+H222+H223+H224+H225+H226+H227</f>
        <v>1028.8310000000001</v>
      </c>
      <c r="I216" s="163"/>
      <c r="J216" s="24">
        <f>J217+J218+J219+J220+J221+J222+J223+J224+J225+J226+J227</f>
        <v>382.00800000000004</v>
      </c>
      <c r="K216" s="24">
        <f>K217+K218+K219+K220+K221+K222+K223+K224+K225+K226+K227</f>
        <v>647.3589999999999</v>
      </c>
      <c r="L216" s="3"/>
      <c r="M216" s="3"/>
      <c r="N216" s="3"/>
      <c r="O216" s="3"/>
      <c r="P216" s="3"/>
      <c r="Q216" s="3"/>
      <c r="R216" s="24">
        <f>R217+R218+R219+R220+R221+R222+R223+R224+R225+R226+R227</f>
        <v>1028.8310000000001</v>
      </c>
      <c r="S216" s="163"/>
      <c r="T216" s="24">
        <f>T217+T218+T219+T220+T221+T222+T223+T224+T225+T226+T227</f>
        <v>382.00800000000004</v>
      </c>
      <c r="U216" s="24">
        <f>U217+U218+U219+U220+U221+U222+U223+U224+U225+U226+U227</f>
        <v>647.3589999999999</v>
      </c>
      <c r="V216" s="3"/>
      <c r="W216" s="3"/>
      <c r="X216" s="3"/>
      <c r="Y216" s="3"/>
      <c r="Z216" s="3"/>
      <c r="AA216" s="3"/>
      <c r="AB216" s="3"/>
      <c r="AC216" s="3"/>
      <c r="AD216" s="3"/>
      <c r="AE216" s="19"/>
      <c r="AF216" s="19"/>
      <c r="AG216" s="19"/>
      <c r="AH216" s="19"/>
      <c r="AI216" s="19"/>
      <c r="AJ216" s="19"/>
    </row>
    <row r="217" spans="1:36" ht="12.75">
      <c r="A217" s="178"/>
      <c r="B217" s="13" t="s">
        <v>815</v>
      </c>
      <c r="C217" s="23">
        <v>60.064</v>
      </c>
      <c r="D217" s="34"/>
      <c r="E217" s="23">
        <v>4.005</v>
      </c>
      <c r="F217" s="23">
        <v>56.059</v>
      </c>
      <c r="G217" s="3"/>
      <c r="H217" s="23">
        <v>60.461</v>
      </c>
      <c r="I217" s="8"/>
      <c r="J217" s="34">
        <v>19</v>
      </c>
      <c r="K217" s="34">
        <v>42</v>
      </c>
      <c r="L217" s="8"/>
      <c r="M217" s="8"/>
      <c r="N217" s="8"/>
      <c r="O217" s="8"/>
      <c r="P217" s="8"/>
      <c r="Q217" s="8"/>
      <c r="R217" s="23">
        <v>60.461</v>
      </c>
      <c r="S217" s="8"/>
      <c r="T217" s="34">
        <v>19</v>
      </c>
      <c r="U217" s="34">
        <v>42</v>
      </c>
      <c r="V217" s="8"/>
      <c r="W217" s="8"/>
      <c r="X217" s="8"/>
      <c r="Y217" s="8"/>
      <c r="Z217" s="8"/>
      <c r="AA217" s="8">
        <v>2011</v>
      </c>
      <c r="AB217" s="8">
        <v>7</v>
      </c>
      <c r="AC217" s="8"/>
      <c r="AD217" s="8"/>
      <c r="AE217" s="10"/>
      <c r="AF217" s="10"/>
      <c r="AG217" s="10"/>
      <c r="AH217" s="10"/>
      <c r="AI217" s="10"/>
      <c r="AJ217" s="10" t="s">
        <v>963</v>
      </c>
    </row>
    <row r="218" spans="1:36" ht="12.75">
      <c r="A218" s="178"/>
      <c r="B218" s="13" t="s">
        <v>816</v>
      </c>
      <c r="C218" s="23">
        <v>120.128</v>
      </c>
      <c r="D218" s="34"/>
      <c r="E218" s="23">
        <v>8.01</v>
      </c>
      <c r="F218" s="23">
        <v>112.118</v>
      </c>
      <c r="G218" s="3"/>
      <c r="H218" s="23">
        <v>118.286</v>
      </c>
      <c r="I218" s="8"/>
      <c r="J218" s="23">
        <v>37.586</v>
      </c>
      <c r="K218" s="23">
        <v>80.699</v>
      </c>
      <c r="L218" s="8"/>
      <c r="M218" s="8"/>
      <c r="N218" s="8"/>
      <c r="O218" s="8"/>
      <c r="P218" s="8"/>
      <c r="Q218" s="8"/>
      <c r="R218" s="23">
        <v>118.286</v>
      </c>
      <c r="S218" s="8"/>
      <c r="T218" s="23">
        <v>37.586</v>
      </c>
      <c r="U218" s="23">
        <v>80.699</v>
      </c>
      <c r="V218" s="8"/>
      <c r="W218" s="8"/>
      <c r="X218" s="8"/>
      <c r="Y218" s="8"/>
      <c r="Z218" s="8"/>
      <c r="AA218" s="8">
        <v>2011</v>
      </c>
      <c r="AB218" s="8">
        <v>7</v>
      </c>
      <c r="AC218" s="8"/>
      <c r="AD218" s="8"/>
      <c r="AE218" s="10"/>
      <c r="AF218" s="10"/>
      <c r="AG218" s="10"/>
      <c r="AH218" s="10"/>
      <c r="AI218" s="10"/>
      <c r="AJ218" s="10" t="s">
        <v>933</v>
      </c>
    </row>
    <row r="219" spans="1:36" ht="12.75">
      <c r="A219" s="178"/>
      <c r="B219" s="13" t="s">
        <v>817</v>
      </c>
      <c r="C219" s="23">
        <v>120.128</v>
      </c>
      <c r="D219" s="34"/>
      <c r="E219" s="23">
        <v>8.01</v>
      </c>
      <c r="F219" s="23">
        <v>112.118</v>
      </c>
      <c r="G219" s="3"/>
      <c r="H219" s="23">
        <v>100.998</v>
      </c>
      <c r="I219" s="8"/>
      <c r="J219" s="23">
        <v>38</v>
      </c>
      <c r="K219" s="23">
        <v>63</v>
      </c>
      <c r="L219" s="8"/>
      <c r="M219" s="8"/>
      <c r="N219" s="8"/>
      <c r="O219" s="8"/>
      <c r="P219" s="8"/>
      <c r="Q219" s="8"/>
      <c r="R219" s="23">
        <v>100.998</v>
      </c>
      <c r="S219" s="8"/>
      <c r="T219" s="23">
        <v>38</v>
      </c>
      <c r="U219" s="23">
        <v>63</v>
      </c>
      <c r="V219" s="8"/>
      <c r="W219" s="8"/>
      <c r="X219" s="8"/>
      <c r="Y219" s="8"/>
      <c r="Z219" s="8"/>
      <c r="AA219" s="8">
        <v>2011</v>
      </c>
      <c r="AB219" s="8">
        <v>7</v>
      </c>
      <c r="AC219" s="8"/>
      <c r="AD219" s="8"/>
      <c r="AE219" s="10"/>
      <c r="AF219" s="10"/>
      <c r="AG219" s="10"/>
      <c r="AH219" s="10"/>
      <c r="AI219" s="10"/>
      <c r="AJ219" s="10" t="s">
        <v>933</v>
      </c>
    </row>
    <row r="220" spans="1:36" ht="12.75">
      <c r="A220" s="178"/>
      <c r="B220" s="13" t="s">
        <v>818</v>
      </c>
      <c r="C220" s="23">
        <v>120.128</v>
      </c>
      <c r="D220" s="34"/>
      <c r="E220" s="23">
        <v>8.01</v>
      </c>
      <c r="F220" s="23">
        <v>112.118</v>
      </c>
      <c r="G220" s="3"/>
      <c r="H220" s="23">
        <v>101.823</v>
      </c>
      <c r="I220" s="8"/>
      <c r="J220" s="23">
        <v>38.094</v>
      </c>
      <c r="K220" s="23">
        <v>63.728</v>
      </c>
      <c r="L220" s="8"/>
      <c r="M220" s="8"/>
      <c r="N220" s="8"/>
      <c r="O220" s="8"/>
      <c r="P220" s="8"/>
      <c r="Q220" s="8"/>
      <c r="R220" s="23">
        <v>101.823</v>
      </c>
      <c r="S220" s="8"/>
      <c r="T220" s="23">
        <v>38.094</v>
      </c>
      <c r="U220" s="23">
        <v>63.728</v>
      </c>
      <c r="V220" s="8"/>
      <c r="W220" s="8"/>
      <c r="X220" s="8"/>
      <c r="Y220" s="8"/>
      <c r="Z220" s="8"/>
      <c r="AA220" s="8">
        <v>2011</v>
      </c>
      <c r="AB220" s="8">
        <v>7</v>
      </c>
      <c r="AC220" s="8"/>
      <c r="AD220" s="8"/>
      <c r="AE220" s="10"/>
      <c r="AF220" s="10"/>
      <c r="AG220" s="10"/>
      <c r="AH220" s="10"/>
      <c r="AI220" s="10"/>
      <c r="AJ220" s="10" t="s">
        <v>933</v>
      </c>
    </row>
    <row r="221" spans="1:36" ht="12.75">
      <c r="A221" s="178"/>
      <c r="B221" s="13" t="s">
        <v>819</v>
      </c>
      <c r="C221" s="23">
        <v>180.192</v>
      </c>
      <c r="D221" s="34"/>
      <c r="E221" s="23">
        <v>12.015</v>
      </c>
      <c r="F221" s="23">
        <v>168.177</v>
      </c>
      <c r="G221" s="3"/>
      <c r="H221" s="23">
        <v>149.488</v>
      </c>
      <c r="I221" s="8"/>
      <c r="J221" s="23">
        <v>56.274</v>
      </c>
      <c r="K221" s="23">
        <v>93.21</v>
      </c>
      <c r="L221" s="8"/>
      <c r="M221" s="8"/>
      <c r="N221" s="8"/>
      <c r="O221" s="8"/>
      <c r="P221" s="8"/>
      <c r="Q221" s="8"/>
      <c r="R221" s="23">
        <v>149.488</v>
      </c>
      <c r="S221" s="8"/>
      <c r="T221" s="23">
        <v>56.274</v>
      </c>
      <c r="U221" s="23">
        <v>93.21</v>
      </c>
      <c r="V221" s="8"/>
      <c r="W221" s="8"/>
      <c r="X221" s="8"/>
      <c r="Y221" s="8"/>
      <c r="Z221" s="8"/>
      <c r="AA221" s="8">
        <v>2011</v>
      </c>
      <c r="AB221" s="8">
        <v>7</v>
      </c>
      <c r="AC221" s="8"/>
      <c r="AD221" s="8"/>
      <c r="AE221" s="10"/>
      <c r="AF221" s="10"/>
      <c r="AG221" s="10"/>
      <c r="AH221" s="10"/>
      <c r="AI221" s="10"/>
      <c r="AJ221" s="10" t="s">
        <v>964</v>
      </c>
    </row>
    <row r="222" spans="1:36" ht="12.75">
      <c r="A222" s="178"/>
      <c r="B222" s="13" t="s">
        <v>820</v>
      </c>
      <c r="C222" s="23">
        <v>120.128</v>
      </c>
      <c r="D222" s="34"/>
      <c r="E222" s="23">
        <v>8.01</v>
      </c>
      <c r="F222" s="23">
        <v>112.118</v>
      </c>
      <c r="G222" s="3"/>
      <c r="H222" s="23">
        <v>99.3</v>
      </c>
      <c r="I222" s="8"/>
      <c r="J222" s="23">
        <v>37.431</v>
      </c>
      <c r="K222" s="23">
        <v>61.869</v>
      </c>
      <c r="L222" s="8"/>
      <c r="M222" s="8"/>
      <c r="N222" s="8"/>
      <c r="O222" s="8"/>
      <c r="P222" s="8"/>
      <c r="Q222" s="8"/>
      <c r="R222" s="23">
        <v>99.3</v>
      </c>
      <c r="S222" s="8"/>
      <c r="T222" s="23">
        <v>37.431</v>
      </c>
      <c r="U222" s="23">
        <v>61.869</v>
      </c>
      <c r="V222" s="8"/>
      <c r="W222" s="8"/>
      <c r="X222" s="8"/>
      <c r="Y222" s="8"/>
      <c r="Z222" s="8"/>
      <c r="AA222" s="8">
        <v>2011</v>
      </c>
      <c r="AB222" s="8">
        <v>7</v>
      </c>
      <c r="AC222" s="8"/>
      <c r="AD222" s="8"/>
      <c r="AE222" s="10"/>
      <c r="AF222" s="10"/>
      <c r="AG222" s="10"/>
      <c r="AH222" s="10"/>
      <c r="AI222" s="10"/>
      <c r="AJ222" s="10" t="s">
        <v>933</v>
      </c>
    </row>
    <row r="223" spans="1:36" ht="12.75">
      <c r="A223" s="178"/>
      <c r="B223" s="13" t="s">
        <v>821</v>
      </c>
      <c r="C223" s="23">
        <v>120.128</v>
      </c>
      <c r="D223" s="34"/>
      <c r="E223" s="23">
        <v>8.01</v>
      </c>
      <c r="F223" s="23">
        <v>112.118</v>
      </c>
      <c r="G223" s="3"/>
      <c r="H223" s="23">
        <v>94.01</v>
      </c>
      <c r="I223" s="8"/>
      <c r="J223" s="28">
        <v>35.125</v>
      </c>
      <c r="K223" s="23">
        <v>58.886</v>
      </c>
      <c r="L223" s="8"/>
      <c r="M223" s="8"/>
      <c r="N223" s="8"/>
      <c r="O223" s="8"/>
      <c r="P223" s="8"/>
      <c r="Q223" s="8"/>
      <c r="R223" s="23">
        <v>94.01</v>
      </c>
      <c r="S223" s="8"/>
      <c r="T223" s="28">
        <v>35.125</v>
      </c>
      <c r="U223" s="23">
        <v>58.886</v>
      </c>
      <c r="V223" s="8"/>
      <c r="W223" s="8"/>
      <c r="X223" s="8"/>
      <c r="Y223" s="8"/>
      <c r="Z223" s="8"/>
      <c r="AA223" s="8">
        <v>2011</v>
      </c>
      <c r="AB223" s="8">
        <v>7</v>
      </c>
      <c r="AC223" s="8"/>
      <c r="AD223" s="8"/>
      <c r="AE223" s="10"/>
      <c r="AF223" s="10"/>
      <c r="AG223" s="10"/>
      <c r="AH223" s="10"/>
      <c r="AI223" s="10"/>
      <c r="AJ223" s="10" t="s">
        <v>933</v>
      </c>
    </row>
    <row r="224" spans="1:36" ht="12.75">
      <c r="A224" s="178"/>
      <c r="B224" s="13" t="s">
        <v>822</v>
      </c>
      <c r="C224" s="23">
        <v>0</v>
      </c>
      <c r="D224" s="34"/>
      <c r="E224" s="23">
        <v>0</v>
      </c>
      <c r="F224" s="23">
        <v>0</v>
      </c>
      <c r="G224" s="3"/>
      <c r="H224" s="23">
        <v>97.754</v>
      </c>
      <c r="I224" s="8"/>
      <c r="J224" s="23">
        <v>36.8</v>
      </c>
      <c r="K224" s="23">
        <v>60.954</v>
      </c>
      <c r="L224" s="8"/>
      <c r="M224" s="8"/>
      <c r="N224" s="8"/>
      <c r="O224" s="8"/>
      <c r="P224" s="8"/>
      <c r="Q224" s="8"/>
      <c r="R224" s="23">
        <v>97.754</v>
      </c>
      <c r="S224" s="8"/>
      <c r="T224" s="23">
        <v>36.8</v>
      </c>
      <c r="U224" s="23">
        <v>60.954</v>
      </c>
      <c r="V224" s="8"/>
      <c r="W224" s="8"/>
      <c r="X224" s="8"/>
      <c r="Y224" s="8"/>
      <c r="Z224" s="8"/>
      <c r="AA224" s="8">
        <v>2011</v>
      </c>
      <c r="AB224" s="8">
        <v>7</v>
      </c>
      <c r="AC224" s="8"/>
      <c r="AD224" s="8"/>
      <c r="AE224" s="10"/>
      <c r="AF224" s="10"/>
      <c r="AG224" s="10"/>
      <c r="AH224" s="10"/>
      <c r="AI224" s="10"/>
      <c r="AJ224" s="10" t="s">
        <v>933</v>
      </c>
    </row>
    <row r="225" spans="1:36" ht="12.75">
      <c r="A225" s="178"/>
      <c r="B225" s="13" t="s">
        <v>824</v>
      </c>
      <c r="C225" s="23">
        <v>120.128</v>
      </c>
      <c r="D225" s="34"/>
      <c r="E225" s="23">
        <v>8.01</v>
      </c>
      <c r="F225" s="23">
        <v>112.118</v>
      </c>
      <c r="G225" s="3"/>
      <c r="H225" s="23">
        <v>98.781</v>
      </c>
      <c r="I225" s="8"/>
      <c r="J225" s="23">
        <v>36.8</v>
      </c>
      <c r="K225" s="23">
        <v>61.981</v>
      </c>
      <c r="L225" s="8"/>
      <c r="M225" s="8"/>
      <c r="N225" s="8"/>
      <c r="O225" s="8"/>
      <c r="P225" s="8"/>
      <c r="Q225" s="8"/>
      <c r="R225" s="8">
        <v>98.781</v>
      </c>
      <c r="S225" s="8"/>
      <c r="T225" s="23">
        <v>36.8</v>
      </c>
      <c r="U225" s="23">
        <v>61.981</v>
      </c>
      <c r="V225" s="8"/>
      <c r="W225" s="8"/>
      <c r="X225" s="8"/>
      <c r="Y225" s="8"/>
      <c r="Z225" s="8"/>
      <c r="AA225" s="8">
        <v>2011</v>
      </c>
      <c r="AB225" s="8">
        <v>7</v>
      </c>
      <c r="AC225" s="8"/>
      <c r="AD225" s="8"/>
      <c r="AE225" s="10"/>
      <c r="AF225" s="10"/>
      <c r="AG225" s="10"/>
      <c r="AH225" s="10"/>
      <c r="AI225" s="10"/>
      <c r="AJ225" s="10" t="s">
        <v>933</v>
      </c>
    </row>
    <row r="226" spans="1:36" ht="12.75">
      <c r="A226" s="178"/>
      <c r="B226" s="13" t="s">
        <v>965</v>
      </c>
      <c r="C226" s="34">
        <v>0</v>
      </c>
      <c r="D226" s="34"/>
      <c r="E226" s="34">
        <v>0</v>
      </c>
      <c r="F226" s="34">
        <v>0</v>
      </c>
      <c r="G226" s="3"/>
      <c r="H226" s="23">
        <f>J226+K226</f>
        <v>53.965</v>
      </c>
      <c r="I226" s="8"/>
      <c r="J226" s="23">
        <v>23.449</v>
      </c>
      <c r="K226" s="23">
        <v>30.516</v>
      </c>
      <c r="L226" s="8"/>
      <c r="M226" s="8"/>
      <c r="N226" s="8"/>
      <c r="O226" s="8"/>
      <c r="P226" s="8"/>
      <c r="Q226" s="8"/>
      <c r="R226" s="23">
        <f>T226+U226</f>
        <v>53.965</v>
      </c>
      <c r="S226" s="8"/>
      <c r="T226" s="23">
        <v>23.449</v>
      </c>
      <c r="U226" s="23">
        <v>30.516</v>
      </c>
      <c r="V226" s="8"/>
      <c r="W226" s="8"/>
      <c r="X226" s="8"/>
      <c r="Y226" s="8"/>
      <c r="Z226" s="8"/>
      <c r="AA226" s="8">
        <v>2011</v>
      </c>
      <c r="AB226" s="8">
        <v>7</v>
      </c>
      <c r="AC226" s="8"/>
      <c r="AD226" s="8"/>
      <c r="AE226" s="10"/>
      <c r="AF226" s="10"/>
      <c r="AG226" s="10"/>
      <c r="AH226" s="10"/>
      <c r="AI226" s="10"/>
      <c r="AJ226" s="10" t="s">
        <v>934</v>
      </c>
    </row>
    <row r="227" spans="1:36" ht="12.75">
      <c r="A227" s="178"/>
      <c r="B227" s="13" t="s">
        <v>966</v>
      </c>
      <c r="C227" s="34">
        <v>0</v>
      </c>
      <c r="D227" s="34"/>
      <c r="E227" s="34">
        <v>0</v>
      </c>
      <c r="F227" s="34">
        <v>0</v>
      </c>
      <c r="G227" s="3"/>
      <c r="H227" s="23">
        <f>J227+K227</f>
        <v>53.965</v>
      </c>
      <c r="I227" s="8"/>
      <c r="J227" s="23">
        <v>23.449</v>
      </c>
      <c r="K227" s="23">
        <v>30.516</v>
      </c>
      <c r="L227" s="8"/>
      <c r="M227" s="8"/>
      <c r="N227" s="8"/>
      <c r="O227" s="8"/>
      <c r="P227" s="8"/>
      <c r="Q227" s="8"/>
      <c r="R227" s="23">
        <f>T227+U227</f>
        <v>53.965</v>
      </c>
      <c r="S227" s="8"/>
      <c r="T227" s="23">
        <v>23.449</v>
      </c>
      <c r="U227" s="23">
        <v>30.516</v>
      </c>
      <c r="V227" s="8"/>
      <c r="W227" s="8"/>
      <c r="X227" s="8"/>
      <c r="Y227" s="8"/>
      <c r="Z227" s="8"/>
      <c r="AA227" s="8">
        <v>2011</v>
      </c>
      <c r="AB227" s="8">
        <v>7</v>
      </c>
      <c r="AC227" s="8"/>
      <c r="AD227" s="8"/>
      <c r="AE227" s="10"/>
      <c r="AF227" s="10"/>
      <c r="AG227" s="10"/>
      <c r="AH227" s="10"/>
      <c r="AI227" s="10"/>
      <c r="AJ227" s="10" t="s">
        <v>934</v>
      </c>
    </row>
    <row r="228" spans="1:36" s="20" customFormat="1" ht="12.75">
      <c r="A228" s="178"/>
      <c r="B228" s="17" t="s">
        <v>709</v>
      </c>
      <c r="C228" s="24">
        <f>C229+C230</f>
        <v>240.28</v>
      </c>
      <c r="D228" s="163"/>
      <c r="E228" s="24">
        <f>E229+E230</f>
        <v>16.04400000000001</v>
      </c>
      <c r="F228" s="24">
        <f>F229+F230</f>
        <v>224.236</v>
      </c>
      <c r="G228" s="3"/>
      <c r="H228" s="24">
        <f>H229+H230</f>
        <v>170.93099999999998</v>
      </c>
      <c r="I228" s="3"/>
      <c r="J228" s="24">
        <f>J229+J230</f>
        <v>50.306</v>
      </c>
      <c r="K228" s="24">
        <f>K229+K230</f>
        <v>120.625</v>
      </c>
      <c r="L228" s="3"/>
      <c r="M228" s="3"/>
      <c r="N228" s="3"/>
      <c r="O228" s="3"/>
      <c r="P228" s="3"/>
      <c r="Q228" s="3"/>
      <c r="R228" s="24">
        <f>R229+R230</f>
        <v>170.93099999999998</v>
      </c>
      <c r="S228" s="3"/>
      <c r="T228" s="24">
        <f>T229+T230</f>
        <v>50.306</v>
      </c>
      <c r="U228" s="24">
        <f>U229+U230</f>
        <v>120.625</v>
      </c>
      <c r="V228" s="3"/>
      <c r="W228" s="3"/>
      <c r="X228" s="3"/>
      <c r="Y228" s="3"/>
      <c r="Z228" s="3"/>
      <c r="AA228" s="3"/>
      <c r="AB228" s="3"/>
      <c r="AC228" s="3"/>
      <c r="AD228" s="3"/>
      <c r="AE228" s="19"/>
      <c r="AF228" s="19"/>
      <c r="AG228" s="19"/>
      <c r="AH228" s="19"/>
      <c r="AI228" s="19"/>
      <c r="AJ228" s="19"/>
    </row>
    <row r="229" spans="1:36" ht="12.75">
      <c r="A229" s="178"/>
      <c r="B229" s="13" t="s">
        <v>710</v>
      </c>
      <c r="C229" s="23">
        <v>120.14</v>
      </c>
      <c r="D229" s="23"/>
      <c r="E229" s="23">
        <v>8.022000000000006</v>
      </c>
      <c r="F229" s="23">
        <v>112.118</v>
      </c>
      <c r="G229" s="3"/>
      <c r="H229" s="23">
        <v>85.47399999999999</v>
      </c>
      <c r="I229" s="8"/>
      <c r="J229" s="23">
        <v>25.153</v>
      </c>
      <c r="K229" s="23">
        <v>60.321</v>
      </c>
      <c r="L229" s="8"/>
      <c r="M229" s="8"/>
      <c r="N229" s="8"/>
      <c r="O229" s="8"/>
      <c r="P229" s="8"/>
      <c r="Q229" s="8"/>
      <c r="R229" s="23">
        <v>85.47399999999999</v>
      </c>
      <c r="S229" s="8"/>
      <c r="T229" s="23">
        <v>25.153</v>
      </c>
      <c r="U229" s="23">
        <v>60.321</v>
      </c>
      <c r="V229" s="8"/>
      <c r="W229" s="8"/>
      <c r="X229" s="8"/>
      <c r="Y229" s="8"/>
      <c r="Z229" s="8"/>
      <c r="AA229" s="8">
        <v>2011</v>
      </c>
      <c r="AB229" s="8">
        <v>7</v>
      </c>
      <c r="AC229" s="8"/>
      <c r="AD229" s="8"/>
      <c r="AE229" s="10"/>
      <c r="AF229" s="10"/>
      <c r="AG229" s="10"/>
      <c r="AH229" s="10"/>
      <c r="AI229" s="10"/>
      <c r="AJ229" s="10" t="s">
        <v>933</v>
      </c>
    </row>
    <row r="230" spans="1:36" ht="12.75">
      <c r="A230" s="178"/>
      <c r="B230" s="13" t="s">
        <v>711</v>
      </c>
      <c r="C230" s="23">
        <v>120.14</v>
      </c>
      <c r="D230" s="23"/>
      <c r="E230" s="23">
        <v>8.022000000000006</v>
      </c>
      <c r="F230" s="23">
        <v>112.118</v>
      </c>
      <c r="G230" s="3"/>
      <c r="H230" s="23">
        <v>85.457</v>
      </c>
      <c r="I230" s="8"/>
      <c r="J230" s="23">
        <v>25.153</v>
      </c>
      <c r="K230" s="23">
        <v>60.304</v>
      </c>
      <c r="L230" s="8"/>
      <c r="M230" s="8"/>
      <c r="N230" s="8"/>
      <c r="O230" s="8"/>
      <c r="P230" s="8"/>
      <c r="Q230" s="8"/>
      <c r="R230" s="23">
        <v>85.457</v>
      </c>
      <c r="S230" s="8"/>
      <c r="T230" s="23">
        <v>25.153</v>
      </c>
      <c r="U230" s="23">
        <v>60.304</v>
      </c>
      <c r="V230" s="8"/>
      <c r="W230" s="8"/>
      <c r="X230" s="8"/>
      <c r="Y230" s="8"/>
      <c r="Z230" s="8"/>
      <c r="AA230" s="8">
        <v>2011</v>
      </c>
      <c r="AB230" s="8">
        <v>7</v>
      </c>
      <c r="AC230" s="8"/>
      <c r="AD230" s="8"/>
      <c r="AE230" s="10"/>
      <c r="AF230" s="10"/>
      <c r="AG230" s="10"/>
      <c r="AH230" s="10"/>
      <c r="AI230" s="10"/>
      <c r="AJ230" s="10" t="s">
        <v>933</v>
      </c>
    </row>
    <row r="231" spans="1:36" s="151" customFormat="1" ht="12.75">
      <c r="A231" s="145" t="s">
        <v>228</v>
      </c>
      <c r="B231" s="174" t="s">
        <v>826</v>
      </c>
      <c r="C231" s="158">
        <f>C232+C240+C274</f>
        <v>5031.1</v>
      </c>
      <c r="D231" s="147"/>
      <c r="E231" s="147">
        <f>E232+E240+E274</f>
        <v>2134.505</v>
      </c>
      <c r="F231" s="147">
        <f>F232+F240+F274</f>
        <v>2896.5950000000003</v>
      </c>
      <c r="G231" s="147"/>
      <c r="H231" s="147">
        <f>H232+H240+H274</f>
        <v>5044.356000000001</v>
      </c>
      <c r="I231" s="147"/>
      <c r="J231" s="147">
        <f>J232+J240+J274</f>
        <v>1386.0810000000001</v>
      </c>
      <c r="K231" s="147">
        <f>K232+K240+K274</f>
        <v>3658.2780000000002</v>
      </c>
      <c r="L231" s="216"/>
      <c r="M231" s="216"/>
      <c r="N231" s="216"/>
      <c r="O231" s="216"/>
      <c r="P231" s="216"/>
      <c r="Q231" s="216"/>
      <c r="R231" s="147">
        <f>R232+R240+R274</f>
        <v>5044.356000000001</v>
      </c>
      <c r="S231" s="147"/>
      <c r="T231" s="147">
        <f>T232+T240+T274</f>
        <v>1386.0810000000001</v>
      </c>
      <c r="U231" s="147">
        <f>U232+U240+U274</f>
        <v>3658.2780000000002</v>
      </c>
      <c r="V231" s="168"/>
      <c r="W231" s="168"/>
      <c r="X231" s="168"/>
      <c r="Y231" s="168"/>
      <c r="Z231" s="168"/>
      <c r="AA231" s="168"/>
      <c r="AB231" s="168"/>
      <c r="AC231" s="168"/>
      <c r="AD231" s="168"/>
      <c r="AE231" s="149"/>
      <c r="AF231" s="149"/>
      <c r="AG231" s="149"/>
      <c r="AH231" s="149"/>
      <c r="AI231" s="149"/>
      <c r="AJ231" s="149"/>
    </row>
    <row r="232" spans="1:36" s="20" customFormat="1" ht="12.75">
      <c r="A232" s="11" t="s">
        <v>827</v>
      </c>
      <c r="B232" s="31" t="s">
        <v>828</v>
      </c>
      <c r="C232" s="24">
        <f>C234+C235+C236+C237+C238+C239</f>
        <v>1887</v>
      </c>
      <c r="D232" s="3"/>
      <c r="E232" s="24">
        <f>E234+E235+E236+E237+E238+E239</f>
        <v>1226.045</v>
      </c>
      <c r="F232" s="24">
        <f>F234+F235+F236+F237+F238+F239</f>
        <v>660.955</v>
      </c>
      <c r="G232" s="3"/>
      <c r="H232" s="24">
        <f>H234+H235+H236+H237+H238+H239</f>
        <v>1888.3380000000002</v>
      </c>
      <c r="I232" s="3"/>
      <c r="J232" s="24">
        <f>J234+J235+J236+J237+J238+J239</f>
        <v>495.76</v>
      </c>
      <c r="K232" s="24">
        <f>K234+K235+K236+K237+K238+K239</f>
        <v>1392.5790000000002</v>
      </c>
      <c r="L232" s="3"/>
      <c r="M232" s="3"/>
      <c r="N232" s="3"/>
      <c r="O232" s="3"/>
      <c r="P232" s="3"/>
      <c r="Q232" s="3"/>
      <c r="R232" s="24">
        <f>R234+R235+R236+R237+R238+R239</f>
        <v>1888.3380000000002</v>
      </c>
      <c r="S232" s="3"/>
      <c r="T232" s="24">
        <f>T234+T235+T236+T237+T238+T239</f>
        <v>495.76</v>
      </c>
      <c r="U232" s="24">
        <f>U234+U235+U236+U237+U238+U239</f>
        <v>1392.5790000000002</v>
      </c>
      <c r="V232" s="3"/>
      <c r="W232" s="3"/>
      <c r="X232" s="3"/>
      <c r="Y232" s="3"/>
      <c r="Z232" s="3"/>
      <c r="AA232" s="3"/>
      <c r="AB232" s="3"/>
      <c r="AC232" s="3"/>
      <c r="AD232" s="3"/>
      <c r="AE232" s="19"/>
      <c r="AF232" s="19"/>
      <c r="AG232" s="19"/>
      <c r="AH232" s="19"/>
      <c r="AI232" s="19"/>
      <c r="AJ232" s="19"/>
    </row>
    <row r="233" spans="1:36" s="20" customFormat="1" ht="12.75">
      <c r="A233" s="11"/>
      <c r="B233" s="312" t="s">
        <v>35</v>
      </c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19"/>
      <c r="AF233" s="19"/>
      <c r="AG233" s="19"/>
      <c r="AH233" s="19"/>
      <c r="AI233" s="19"/>
      <c r="AJ233" s="19"/>
    </row>
    <row r="234" spans="1:36" ht="12.75">
      <c r="A234" s="233"/>
      <c r="B234" s="13" t="s">
        <v>829</v>
      </c>
      <c r="C234" s="23">
        <f>E234+F234</f>
        <v>377.4</v>
      </c>
      <c r="D234" s="23"/>
      <c r="E234" s="23">
        <v>245.209</v>
      </c>
      <c r="F234" s="23">
        <v>132.191</v>
      </c>
      <c r="G234" s="24"/>
      <c r="H234" s="23">
        <v>315.188</v>
      </c>
      <c r="I234" s="23"/>
      <c r="J234" s="23">
        <v>73.238</v>
      </c>
      <c r="K234" s="23">
        <v>241.95</v>
      </c>
      <c r="L234" s="23"/>
      <c r="M234" s="23"/>
      <c r="N234" s="23"/>
      <c r="O234" s="23"/>
      <c r="P234" s="23"/>
      <c r="Q234" s="23"/>
      <c r="R234" s="23">
        <v>315.188</v>
      </c>
      <c r="S234" s="23"/>
      <c r="T234" s="23">
        <v>73.238</v>
      </c>
      <c r="U234" s="23">
        <v>241.95</v>
      </c>
      <c r="V234" s="8"/>
      <c r="W234" s="8"/>
      <c r="X234" s="8"/>
      <c r="Y234" s="8"/>
      <c r="Z234" s="8"/>
      <c r="AA234" s="8"/>
      <c r="AB234" s="8"/>
      <c r="AC234" s="8"/>
      <c r="AD234" s="8"/>
      <c r="AE234" s="10"/>
      <c r="AF234" s="10"/>
      <c r="AG234" s="10"/>
      <c r="AH234" s="10"/>
      <c r="AI234" s="10"/>
      <c r="AJ234" s="10"/>
    </row>
    <row r="235" spans="1:36" ht="12.75">
      <c r="A235" s="233"/>
      <c r="B235" s="13" t="s">
        <v>830</v>
      </c>
      <c r="C235" s="23">
        <f>E235+F235</f>
        <v>377.4</v>
      </c>
      <c r="D235" s="23"/>
      <c r="E235" s="23">
        <v>245.209</v>
      </c>
      <c r="F235" s="23">
        <v>132.191</v>
      </c>
      <c r="G235" s="24"/>
      <c r="H235" s="23">
        <v>314.339</v>
      </c>
      <c r="I235" s="23"/>
      <c r="J235" s="23">
        <v>73.613</v>
      </c>
      <c r="K235" s="23">
        <v>240.727</v>
      </c>
      <c r="L235" s="23"/>
      <c r="M235" s="23"/>
      <c r="N235" s="23"/>
      <c r="O235" s="23"/>
      <c r="P235" s="23"/>
      <c r="Q235" s="23"/>
      <c r="R235" s="23">
        <v>314.339</v>
      </c>
      <c r="S235" s="23"/>
      <c r="T235" s="23">
        <v>73.613</v>
      </c>
      <c r="U235" s="23">
        <v>240.727</v>
      </c>
      <c r="V235" s="8"/>
      <c r="W235" s="8"/>
      <c r="X235" s="8"/>
      <c r="Y235" s="8"/>
      <c r="Z235" s="8"/>
      <c r="AA235" s="8"/>
      <c r="AB235" s="8"/>
      <c r="AC235" s="8"/>
      <c r="AD235" s="8"/>
      <c r="AE235" s="10"/>
      <c r="AF235" s="10"/>
      <c r="AG235" s="10"/>
      <c r="AH235" s="10"/>
      <c r="AI235" s="10"/>
      <c r="AJ235" s="10"/>
    </row>
    <row r="236" spans="1:36" ht="12.75">
      <c r="A236" s="233"/>
      <c r="B236" s="13" t="s">
        <v>831</v>
      </c>
      <c r="C236" s="23">
        <f>E236+F236</f>
        <v>377.4</v>
      </c>
      <c r="D236" s="23"/>
      <c r="E236" s="23">
        <v>245.209</v>
      </c>
      <c r="F236" s="23">
        <v>132.191</v>
      </c>
      <c r="G236" s="24"/>
      <c r="H236" s="23">
        <v>314.34</v>
      </c>
      <c r="I236" s="23"/>
      <c r="J236" s="23">
        <v>73.596</v>
      </c>
      <c r="K236" s="23">
        <v>240.744</v>
      </c>
      <c r="L236" s="23"/>
      <c r="M236" s="23"/>
      <c r="N236" s="23"/>
      <c r="O236" s="23"/>
      <c r="P236" s="23"/>
      <c r="Q236" s="23"/>
      <c r="R236" s="23">
        <v>314.34</v>
      </c>
      <c r="S236" s="23"/>
      <c r="T236" s="23">
        <v>73.596</v>
      </c>
      <c r="U236" s="23">
        <v>240.744</v>
      </c>
      <c r="V236" s="8"/>
      <c r="W236" s="8"/>
      <c r="X236" s="8"/>
      <c r="Y236" s="8"/>
      <c r="Z236" s="8"/>
      <c r="AA236" s="8"/>
      <c r="AB236" s="8"/>
      <c r="AC236" s="8"/>
      <c r="AD236" s="8"/>
      <c r="AE236" s="10"/>
      <c r="AF236" s="10"/>
      <c r="AG236" s="10"/>
      <c r="AH236" s="10"/>
      <c r="AI236" s="10"/>
      <c r="AJ236" s="10"/>
    </row>
    <row r="237" spans="1:36" ht="12.75">
      <c r="A237" s="233"/>
      <c r="B237" s="13" t="s">
        <v>967</v>
      </c>
      <c r="C237" s="23">
        <v>0</v>
      </c>
      <c r="D237" s="23"/>
      <c r="E237" s="23">
        <v>0</v>
      </c>
      <c r="F237" s="23">
        <v>0</v>
      </c>
      <c r="G237" s="24"/>
      <c r="H237" s="23">
        <f>J237+K237</f>
        <v>311.05899999999997</v>
      </c>
      <c r="I237" s="23"/>
      <c r="J237" s="23">
        <v>174.139</v>
      </c>
      <c r="K237" s="23">
        <v>136.92</v>
      </c>
      <c r="L237" s="23"/>
      <c r="M237" s="23"/>
      <c r="N237" s="23"/>
      <c r="O237" s="23"/>
      <c r="P237" s="23"/>
      <c r="Q237" s="23"/>
      <c r="R237" s="23">
        <f>T237+U237</f>
        <v>311.05899999999997</v>
      </c>
      <c r="S237" s="23"/>
      <c r="T237" s="23">
        <v>174.139</v>
      </c>
      <c r="U237" s="23">
        <v>136.92</v>
      </c>
      <c r="V237" s="8"/>
      <c r="W237" s="8"/>
      <c r="X237" s="8"/>
      <c r="Y237" s="8"/>
      <c r="Z237" s="8"/>
      <c r="AA237" s="8"/>
      <c r="AB237" s="8"/>
      <c r="AC237" s="8"/>
      <c r="AD237" s="8"/>
      <c r="AE237" s="10"/>
      <c r="AF237" s="10"/>
      <c r="AG237" s="10"/>
      <c r="AH237" s="10"/>
      <c r="AI237" s="10"/>
      <c r="AJ237" s="10"/>
    </row>
    <row r="238" spans="1:36" ht="12.75">
      <c r="A238" s="233"/>
      <c r="B238" s="13" t="s">
        <v>833</v>
      </c>
      <c r="C238" s="23">
        <f>E238+F238</f>
        <v>377.4</v>
      </c>
      <c r="D238" s="23"/>
      <c r="E238" s="23">
        <v>245.209</v>
      </c>
      <c r="F238" s="23">
        <v>132.191</v>
      </c>
      <c r="G238" s="24"/>
      <c r="H238" s="23">
        <f>I238+J238+K238</f>
        <v>316.706</v>
      </c>
      <c r="I238" s="23"/>
      <c r="J238" s="23">
        <v>50.587</v>
      </c>
      <c r="K238" s="23">
        <v>266.119</v>
      </c>
      <c r="L238" s="23"/>
      <c r="M238" s="23"/>
      <c r="N238" s="23"/>
      <c r="O238" s="23"/>
      <c r="P238" s="23"/>
      <c r="Q238" s="23"/>
      <c r="R238" s="23">
        <f>S238+T238+U238</f>
        <v>316.706</v>
      </c>
      <c r="S238" s="23"/>
      <c r="T238" s="23">
        <v>50.587</v>
      </c>
      <c r="U238" s="23">
        <v>266.119</v>
      </c>
      <c r="V238" s="8"/>
      <c r="W238" s="8"/>
      <c r="X238" s="8"/>
      <c r="Y238" s="8"/>
      <c r="Z238" s="8"/>
      <c r="AA238" s="8"/>
      <c r="AB238" s="8"/>
      <c r="AC238" s="8"/>
      <c r="AD238" s="8"/>
      <c r="AE238" s="10"/>
      <c r="AF238" s="10"/>
      <c r="AG238" s="10"/>
      <c r="AH238" s="10"/>
      <c r="AI238" s="10"/>
      <c r="AJ238" s="10"/>
    </row>
    <row r="239" spans="1:36" ht="12.75">
      <c r="A239" s="233"/>
      <c r="B239" s="13" t="s">
        <v>834</v>
      </c>
      <c r="C239" s="23">
        <f>E239+F239</f>
        <v>377.4</v>
      </c>
      <c r="D239" s="23"/>
      <c r="E239" s="23">
        <v>245.209</v>
      </c>
      <c r="F239" s="23">
        <v>132.191</v>
      </c>
      <c r="G239" s="24"/>
      <c r="H239" s="23">
        <f>J239+K239</f>
        <v>316.706</v>
      </c>
      <c r="I239" s="23"/>
      <c r="J239" s="23">
        <v>50.587</v>
      </c>
      <c r="K239" s="23">
        <v>266.119</v>
      </c>
      <c r="L239" s="23"/>
      <c r="M239" s="23"/>
      <c r="N239" s="23"/>
      <c r="O239" s="23"/>
      <c r="P239" s="23"/>
      <c r="Q239" s="23"/>
      <c r="R239" s="23">
        <f>T239+U239</f>
        <v>316.706</v>
      </c>
      <c r="S239" s="23"/>
      <c r="T239" s="23">
        <v>50.587</v>
      </c>
      <c r="U239" s="23">
        <v>266.119</v>
      </c>
      <c r="V239" s="8"/>
      <c r="W239" s="8"/>
      <c r="X239" s="8"/>
      <c r="Y239" s="8"/>
      <c r="Z239" s="8"/>
      <c r="AA239" s="8"/>
      <c r="AB239" s="8"/>
      <c r="AC239" s="8"/>
      <c r="AD239" s="8"/>
      <c r="AE239" s="10"/>
      <c r="AF239" s="10"/>
      <c r="AG239" s="10"/>
      <c r="AH239" s="10"/>
      <c r="AI239" s="10"/>
      <c r="AJ239" s="10"/>
    </row>
    <row r="240" spans="1:36" s="20" customFormat="1" ht="12.75">
      <c r="A240" s="11" t="s">
        <v>835</v>
      </c>
      <c r="B240" s="240" t="s">
        <v>836</v>
      </c>
      <c r="C240" s="24">
        <f>C241+C252+C255+C261+C269+C250+C258</f>
        <v>2494.1</v>
      </c>
      <c r="D240" s="33"/>
      <c r="E240" s="24">
        <f>E241+E252+E255+E261+E269+E250+E258</f>
        <v>908.4599999999998</v>
      </c>
      <c r="F240" s="24">
        <f>F241+F252+F255+F261+F269+F250+F258</f>
        <v>1585.64</v>
      </c>
      <c r="G240" s="3"/>
      <c r="H240" s="24">
        <f>H241+H252+H255+H261+H269+H250+H258</f>
        <v>2499.856</v>
      </c>
      <c r="I240" s="33"/>
      <c r="J240" s="24">
        <f>J241+J252+J255+J261+J269+J250+J258</f>
        <v>692.551</v>
      </c>
      <c r="K240" s="24">
        <f>K241+K252+K255+K261+K269+K250+K258</f>
        <v>1807.3070000000002</v>
      </c>
      <c r="L240" s="3"/>
      <c r="M240" s="3"/>
      <c r="N240" s="3"/>
      <c r="O240" s="3"/>
      <c r="P240" s="3"/>
      <c r="Q240" s="3"/>
      <c r="R240" s="24">
        <f>R241+R252+R255+R261+R269+R250+R258</f>
        <v>2499.856</v>
      </c>
      <c r="S240" s="33"/>
      <c r="T240" s="24">
        <f>T241+T252+T255+T261+T269+T250+T258</f>
        <v>692.551</v>
      </c>
      <c r="U240" s="24">
        <f>U241+U252+U255+U261+U269+U250+U258</f>
        <v>1807.3070000000002</v>
      </c>
      <c r="V240" s="3"/>
      <c r="W240" s="3"/>
      <c r="X240" s="3"/>
      <c r="Y240" s="3"/>
      <c r="Z240" s="3"/>
      <c r="AA240" s="3"/>
      <c r="AB240" s="3"/>
      <c r="AC240" s="3"/>
      <c r="AD240" s="3"/>
      <c r="AE240" s="19"/>
      <c r="AF240" s="19"/>
      <c r="AG240" s="19"/>
      <c r="AH240" s="19"/>
      <c r="AI240" s="19"/>
      <c r="AJ240" s="19"/>
    </row>
    <row r="241" spans="1:36" s="20" customFormat="1" ht="12.75">
      <c r="A241" s="11"/>
      <c r="B241" s="312" t="s">
        <v>35</v>
      </c>
      <c r="C241" s="24">
        <f>C242+C243+C244+C245+C246+C247+C248+C249</f>
        <v>1248.1</v>
      </c>
      <c r="D241" s="24"/>
      <c r="E241" s="24">
        <f>E242+E243+E244+E245+E246+E247+E248+E249</f>
        <v>455</v>
      </c>
      <c r="F241" s="24">
        <f>F242+F243+F244+F245+F246+F247+F248+F249</f>
        <v>793.0999999999999</v>
      </c>
      <c r="G241" s="24"/>
      <c r="H241" s="24">
        <f>H242+H243+H244+H245+H246+H247+H248+H249</f>
        <v>1258.545</v>
      </c>
      <c r="I241" s="24"/>
      <c r="J241" s="24">
        <f>J242+J243+J244+J245+J246+J247+J248+J249</f>
        <v>335.511</v>
      </c>
      <c r="K241" s="24">
        <f>K242+K243+K244+K245+K246+K247+K248+K249</f>
        <v>923.0360000000001</v>
      </c>
      <c r="L241" s="24"/>
      <c r="M241" s="24"/>
      <c r="N241" s="24"/>
      <c r="O241" s="24"/>
      <c r="P241" s="24"/>
      <c r="Q241" s="24"/>
      <c r="R241" s="24">
        <f>R242+R243+R244+R245+R246+R247+R248+R249</f>
        <v>1258.545</v>
      </c>
      <c r="S241" s="24"/>
      <c r="T241" s="24">
        <f>T242+T243+T244+T245+T246+T247+T248+T249</f>
        <v>335.511</v>
      </c>
      <c r="U241" s="24">
        <f>U242+U243+U244+U245+U246+U247+U248+U249</f>
        <v>923.0360000000001</v>
      </c>
      <c r="V241" s="3"/>
      <c r="W241" s="3"/>
      <c r="X241" s="3"/>
      <c r="Y241" s="3"/>
      <c r="Z241" s="3"/>
      <c r="AA241" s="3"/>
      <c r="AB241" s="3"/>
      <c r="AC241" s="3"/>
      <c r="AD241" s="3"/>
      <c r="AE241" s="19"/>
      <c r="AF241" s="19"/>
      <c r="AG241" s="19"/>
      <c r="AH241" s="19"/>
      <c r="AI241" s="19"/>
      <c r="AJ241" s="19"/>
    </row>
    <row r="242" spans="1:36" ht="12.75">
      <c r="A242" s="243"/>
      <c r="B242" s="244" t="s">
        <v>837</v>
      </c>
      <c r="C242" s="23">
        <f>E242+F242</f>
        <v>178.3</v>
      </c>
      <c r="D242" s="23"/>
      <c r="E242" s="23">
        <v>65</v>
      </c>
      <c r="F242" s="23">
        <v>113.3</v>
      </c>
      <c r="G242" s="3"/>
      <c r="H242" s="23">
        <v>153.36</v>
      </c>
      <c r="I242" s="23"/>
      <c r="J242" s="23">
        <v>41.94</v>
      </c>
      <c r="K242" s="23">
        <v>111.42</v>
      </c>
      <c r="L242" s="8"/>
      <c r="M242" s="8"/>
      <c r="N242" s="8"/>
      <c r="O242" s="8"/>
      <c r="P242" s="8"/>
      <c r="Q242" s="8"/>
      <c r="R242" s="32">
        <v>153.36</v>
      </c>
      <c r="S242" s="32"/>
      <c r="T242" s="32">
        <v>41.94</v>
      </c>
      <c r="U242" s="32">
        <v>111.42</v>
      </c>
      <c r="V242" s="8"/>
      <c r="W242" s="8"/>
      <c r="X242" s="8"/>
      <c r="Y242" s="8"/>
      <c r="Z242" s="8"/>
      <c r="AA242" s="8"/>
      <c r="AB242" s="8"/>
      <c r="AC242" s="8"/>
      <c r="AD242" s="8"/>
      <c r="AE242" s="10"/>
      <c r="AF242" s="10"/>
      <c r="AG242" s="10"/>
      <c r="AH242" s="10"/>
      <c r="AI242" s="10"/>
      <c r="AJ242" s="10"/>
    </row>
    <row r="243" spans="1:36" ht="12.75">
      <c r="A243" s="321"/>
      <c r="B243" s="244" t="s">
        <v>839</v>
      </c>
      <c r="C243" s="23">
        <f>E243+F243</f>
        <v>178.3</v>
      </c>
      <c r="D243" s="23"/>
      <c r="E243" s="23">
        <v>65</v>
      </c>
      <c r="F243" s="23">
        <v>113.3</v>
      </c>
      <c r="G243" s="3"/>
      <c r="H243" s="23">
        <v>152.327</v>
      </c>
      <c r="I243" s="23"/>
      <c r="J243" s="23">
        <v>40.727</v>
      </c>
      <c r="K243" s="23">
        <v>111.6</v>
      </c>
      <c r="L243" s="8"/>
      <c r="M243" s="8"/>
      <c r="N243" s="8"/>
      <c r="O243" s="8"/>
      <c r="P243" s="8"/>
      <c r="Q243" s="8"/>
      <c r="R243" s="32">
        <v>152.327</v>
      </c>
      <c r="S243" s="32"/>
      <c r="T243" s="32">
        <v>40.727</v>
      </c>
      <c r="U243" s="32">
        <v>111.6</v>
      </c>
      <c r="V243" s="8"/>
      <c r="W243" s="8"/>
      <c r="X243" s="8"/>
      <c r="Y243" s="8"/>
      <c r="Z243" s="8"/>
      <c r="AA243" s="8"/>
      <c r="AB243" s="8"/>
      <c r="AC243" s="8"/>
      <c r="AD243" s="8"/>
      <c r="AE243" s="10"/>
      <c r="AF243" s="10"/>
      <c r="AG243" s="10"/>
      <c r="AH243" s="10"/>
      <c r="AI243" s="10"/>
      <c r="AJ243" s="10"/>
    </row>
    <row r="244" spans="1:36" ht="12.75">
      <c r="A244" s="321"/>
      <c r="B244" s="244" t="s">
        <v>840</v>
      </c>
      <c r="C244" s="23">
        <f>E244+F244</f>
        <v>178.3</v>
      </c>
      <c r="D244" s="23"/>
      <c r="E244" s="23">
        <v>65</v>
      </c>
      <c r="F244" s="23">
        <v>113.3</v>
      </c>
      <c r="G244" s="3"/>
      <c r="H244" s="23">
        <v>156.152</v>
      </c>
      <c r="I244" s="23"/>
      <c r="J244" s="23">
        <v>42.81</v>
      </c>
      <c r="K244" s="23">
        <v>113.343</v>
      </c>
      <c r="L244" s="8"/>
      <c r="M244" s="8"/>
      <c r="N244" s="8"/>
      <c r="O244" s="8"/>
      <c r="P244" s="8"/>
      <c r="Q244" s="8"/>
      <c r="R244" s="8">
        <v>156.152</v>
      </c>
      <c r="S244" s="8"/>
      <c r="T244" s="8">
        <v>42.81</v>
      </c>
      <c r="U244" s="8">
        <v>113.343</v>
      </c>
      <c r="V244" s="8"/>
      <c r="W244" s="8"/>
      <c r="X244" s="8"/>
      <c r="Y244" s="8"/>
      <c r="Z244" s="8"/>
      <c r="AA244" s="8"/>
      <c r="AB244" s="8"/>
      <c r="AC244" s="8"/>
      <c r="AD244" s="8"/>
      <c r="AE244" s="10"/>
      <c r="AF244" s="10"/>
      <c r="AG244" s="10"/>
      <c r="AH244" s="10"/>
      <c r="AI244" s="10"/>
      <c r="AJ244" s="10"/>
    </row>
    <row r="245" spans="1:36" ht="12.75">
      <c r="A245" s="321"/>
      <c r="B245" s="244" t="s">
        <v>841</v>
      </c>
      <c r="C245" s="49">
        <v>0</v>
      </c>
      <c r="D245" s="32"/>
      <c r="E245" s="32">
        <v>0</v>
      </c>
      <c r="F245" s="32">
        <v>0</v>
      </c>
      <c r="G245" s="3"/>
      <c r="H245" s="23">
        <v>63.877</v>
      </c>
      <c r="I245" s="23"/>
      <c r="J245" s="322">
        <v>37.474</v>
      </c>
      <c r="K245" s="23">
        <v>26.403</v>
      </c>
      <c r="L245" s="8"/>
      <c r="M245" s="8"/>
      <c r="N245" s="8"/>
      <c r="O245" s="8"/>
      <c r="P245" s="8"/>
      <c r="Q245" s="8"/>
      <c r="R245" s="8">
        <v>63.877</v>
      </c>
      <c r="S245" s="8"/>
      <c r="T245" s="323">
        <v>37.474</v>
      </c>
      <c r="U245" s="8">
        <v>26.403</v>
      </c>
      <c r="V245" s="8"/>
      <c r="W245" s="8"/>
      <c r="X245" s="8"/>
      <c r="Y245" s="8"/>
      <c r="Z245" s="8"/>
      <c r="AA245" s="8"/>
      <c r="AB245" s="8"/>
      <c r="AC245" s="8"/>
      <c r="AD245" s="8"/>
      <c r="AE245" s="10"/>
      <c r="AF245" s="10"/>
      <c r="AG245" s="10"/>
      <c r="AH245" s="10"/>
      <c r="AI245" s="10"/>
      <c r="AJ245" s="10"/>
    </row>
    <row r="246" spans="1:36" ht="12.75">
      <c r="A246" s="321"/>
      <c r="B246" s="244" t="s">
        <v>842</v>
      </c>
      <c r="C246" s="23">
        <f>E246+F246</f>
        <v>178.3</v>
      </c>
      <c r="D246" s="23"/>
      <c r="E246" s="23">
        <v>65</v>
      </c>
      <c r="F246" s="23">
        <v>113.3</v>
      </c>
      <c r="G246" s="3"/>
      <c r="H246" s="23">
        <v>153.052</v>
      </c>
      <c r="I246" s="23"/>
      <c r="J246" s="322">
        <v>42.348</v>
      </c>
      <c r="K246" s="23">
        <v>110.705</v>
      </c>
      <c r="L246" s="8"/>
      <c r="M246" s="8"/>
      <c r="N246" s="8"/>
      <c r="O246" s="8"/>
      <c r="P246" s="8"/>
      <c r="Q246" s="8"/>
      <c r="R246" s="23">
        <v>153.052</v>
      </c>
      <c r="S246" s="23"/>
      <c r="T246" s="322">
        <v>42.348</v>
      </c>
      <c r="U246" s="23">
        <v>110.705</v>
      </c>
      <c r="V246" s="8"/>
      <c r="W246" s="8"/>
      <c r="X246" s="8"/>
      <c r="Y246" s="8"/>
      <c r="Z246" s="8"/>
      <c r="AA246" s="8"/>
      <c r="AB246" s="8"/>
      <c r="AC246" s="8"/>
      <c r="AD246" s="8"/>
      <c r="AE246" s="10"/>
      <c r="AF246" s="10"/>
      <c r="AG246" s="10"/>
      <c r="AH246" s="10"/>
      <c r="AI246" s="10"/>
      <c r="AJ246" s="10"/>
    </row>
    <row r="247" spans="1:36" ht="12.75">
      <c r="A247" s="321"/>
      <c r="B247" s="244" t="s">
        <v>843</v>
      </c>
      <c r="C247" s="23">
        <f>E247+F247</f>
        <v>178.3</v>
      </c>
      <c r="D247" s="23"/>
      <c r="E247" s="23">
        <v>65</v>
      </c>
      <c r="F247" s="23">
        <v>113.3</v>
      </c>
      <c r="G247" s="3"/>
      <c r="H247" s="23">
        <v>158.161</v>
      </c>
      <c r="I247" s="23"/>
      <c r="J247" s="322">
        <v>42.913</v>
      </c>
      <c r="K247" s="23">
        <v>115.248</v>
      </c>
      <c r="L247" s="8"/>
      <c r="M247" s="8"/>
      <c r="N247" s="8"/>
      <c r="O247" s="8"/>
      <c r="P247" s="8"/>
      <c r="Q247" s="8"/>
      <c r="R247" s="23">
        <v>158.161</v>
      </c>
      <c r="S247" s="23"/>
      <c r="T247" s="322">
        <v>42.913</v>
      </c>
      <c r="U247" s="23">
        <v>115.248</v>
      </c>
      <c r="V247" s="8"/>
      <c r="W247" s="8"/>
      <c r="X247" s="8"/>
      <c r="Y247" s="8"/>
      <c r="Z247" s="8"/>
      <c r="AA247" s="8"/>
      <c r="AB247" s="8"/>
      <c r="AC247" s="8"/>
      <c r="AD247" s="8"/>
      <c r="AE247" s="10"/>
      <c r="AF247" s="10"/>
      <c r="AG247" s="10"/>
      <c r="AH247" s="10"/>
      <c r="AI247" s="10"/>
      <c r="AJ247" s="10"/>
    </row>
    <row r="248" spans="1:36" ht="12.75">
      <c r="A248" s="321"/>
      <c r="B248" s="244" t="s">
        <v>844</v>
      </c>
      <c r="C248" s="23">
        <f>E248+F248</f>
        <v>178.3</v>
      </c>
      <c r="D248" s="23"/>
      <c r="E248" s="23">
        <v>65</v>
      </c>
      <c r="F248" s="23">
        <v>113.3</v>
      </c>
      <c r="G248" s="3"/>
      <c r="H248" s="23">
        <f>J248+K248</f>
        <v>189.821</v>
      </c>
      <c r="I248" s="23"/>
      <c r="J248" s="322">
        <f>40.363+3.528</f>
        <v>43.891</v>
      </c>
      <c r="K248" s="23">
        <f>133.294+12.636</f>
        <v>145.93</v>
      </c>
      <c r="L248" s="8"/>
      <c r="M248" s="8"/>
      <c r="N248" s="8"/>
      <c r="O248" s="8"/>
      <c r="P248" s="8"/>
      <c r="Q248" s="8"/>
      <c r="R248" s="23">
        <f>T248+U248</f>
        <v>189.821</v>
      </c>
      <c r="S248" s="23"/>
      <c r="T248" s="322">
        <f>40.363+3.528</f>
        <v>43.891</v>
      </c>
      <c r="U248" s="23">
        <f>133.294+12.636</f>
        <v>145.93</v>
      </c>
      <c r="V248" s="8"/>
      <c r="W248" s="8"/>
      <c r="X248" s="8"/>
      <c r="Y248" s="8"/>
      <c r="Z248" s="8"/>
      <c r="AA248" s="8"/>
      <c r="AB248" s="8"/>
      <c r="AC248" s="8"/>
      <c r="AD248" s="8"/>
      <c r="AE248" s="10"/>
      <c r="AF248" s="10"/>
      <c r="AG248" s="10"/>
      <c r="AH248" s="10"/>
      <c r="AI248" s="10"/>
      <c r="AJ248" s="10"/>
    </row>
    <row r="249" spans="1:36" ht="12.75">
      <c r="A249" s="321"/>
      <c r="B249" s="244" t="s">
        <v>845</v>
      </c>
      <c r="C249" s="23">
        <f>E249+F249</f>
        <v>178.3</v>
      </c>
      <c r="D249" s="23"/>
      <c r="E249" s="23">
        <v>65</v>
      </c>
      <c r="F249" s="23">
        <v>113.3</v>
      </c>
      <c r="G249" s="3"/>
      <c r="H249" s="23">
        <f>J249+K249</f>
        <v>231.79500000000002</v>
      </c>
      <c r="I249" s="23"/>
      <c r="J249" s="322">
        <f>40.212+3.196</f>
        <v>43.408</v>
      </c>
      <c r="K249" s="23">
        <f>154.738+33.649</f>
        <v>188.387</v>
      </c>
      <c r="L249" s="8"/>
      <c r="M249" s="8"/>
      <c r="N249" s="8"/>
      <c r="O249" s="8"/>
      <c r="P249" s="8"/>
      <c r="Q249" s="8"/>
      <c r="R249" s="23">
        <f>T249+U249</f>
        <v>231.79500000000002</v>
      </c>
      <c r="S249" s="23"/>
      <c r="T249" s="322">
        <f>40.212+3.196</f>
        <v>43.408</v>
      </c>
      <c r="U249" s="23">
        <f>154.738+33.649</f>
        <v>188.387</v>
      </c>
      <c r="V249" s="8"/>
      <c r="W249" s="8"/>
      <c r="X249" s="8"/>
      <c r="Y249" s="8"/>
      <c r="Z249" s="8"/>
      <c r="AA249" s="8"/>
      <c r="AB249" s="8"/>
      <c r="AC249" s="8"/>
      <c r="AD249" s="8"/>
      <c r="AE249" s="10"/>
      <c r="AF249" s="10"/>
      <c r="AG249" s="10"/>
      <c r="AH249" s="10"/>
      <c r="AI249" s="10"/>
      <c r="AJ249" s="10"/>
    </row>
    <row r="250" spans="1:36" s="20" customFormat="1" ht="12.75">
      <c r="A250" s="321"/>
      <c r="B250" s="40" t="s">
        <v>121</v>
      </c>
      <c r="C250" s="24">
        <f>C251</f>
        <v>178</v>
      </c>
      <c r="D250" s="24"/>
      <c r="E250" s="24">
        <f>E251</f>
        <v>64.78</v>
      </c>
      <c r="F250" s="24">
        <f>F251</f>
        <v>113.22</v>
      </c>
      <c r="G250" s="3"/>
      <c r="H250" s="24">
        <f>H251</f>
        <v>148.614</v>
      </c>
      <c r="I250" s="24"/>
      <c r="J250" s="24">
        <f>J251</f>
        <v>39.576</v>
      </c>
      <c r="K250" s="24">
        <f>K251</f>
        <v>109.038</v>
      </c>
      <c r="L250" s="3"/>
      <c r="M250" s="3"/>
      <c r="N250" s="3"/>
      <c r="O250" s="3"/>
      <c r="P250" s="3"/>
      <c r="Q250" s="3"/>
      <c r="R250" s="24">
        <f>R251</f>
        <v>148.614</v>
      </c>
      <c r="S250" s="24"/>
      <c r="T250" s="24">
        <f>T251</f>
        <v>39.576</v>
      </c>
      <c r="U250" s="24">
        <f>U251</f>
        <v>109.038</v>
      </c>
      <c r="V250" s="3"/>
      <c r="W250" s="3"/>
      <c r="X250" s="3"/>
      <c r="Y250" s="3"/>
      <c r="Z250" s="3"/>
      <c r="AA250" s="3"/>
      <c r="AB250" s="3"/>
      <c r="AC250" s="3"/>
      <c r="AD250" s="3"/>
      <c r="AE250" s="19"/>
      <c r="AF250" s="19"/>
      <c r="AG250" s="19"/>
      <c r="AH250" s="19"/>
      <c r="AI250" s="19"/>
      <c r="AJ250" s="19"/>
    </row>
    <row r="251" spans="1:36" ht="12.75">
      <c r="A251" s="321"/>
      <c r="B251" s="177" t="s">
        <v>846</v>
      </c>
      <c r="C251" s="23">
        <f>E251+F251</f>
        <v>178</v>
      </c>
      <c r="D251" s="23"/>
      <c r="E251" s="23">
        <v>64.78</v>
      </c>
      <c r="F251" s="23">
        <v>113.22</v>
      </c>
      <c r="G251" s="3"/>
      <c r="H251" s="23">
        <f>J251+K251</f>
        <v>148.614</v>
      </c>
      <c r="I251" s="23"/>
      <c r="J251" s="322">
        <v>39.576</v>
      </c>
      <c r="K251" s="23">
        <v>109.038</v>
      </c>
      <c r="L251" s="8"/>
      <c r="M251" s="8"/>
      <c r="N251" s="8"/>
      <c r="O251" s="8"/>
      <c r="P251" s="8"/>
      <c r="Q251" s="8"/>
      <c r="R251" s="23">
        <f>T251+U251</f>
        <v>148.614</v>
      </c>
      <c r="S251" s="23"/>
      <c r="T251" s="322">
        <v>39.576</v>
      </c>
      <c r="U251" s="23">
        <v>109.038</v>
      </c>
      <c r="V251" s="8"/>
      <c r="W251" s="8"/>
      <c r="X251" s="8"/>
      <c r="Y251" s="8"/>
      <c r="Z251" s="8"/>
      <c r="AA251" s="8"/>
      <c r="AB251" s="8"/>
      <c r="AC251" s="8"/>
      <c r="AD251" s="8"/>
      <c r="AE251" s="10"/>
      <c r="AF251" s="10"/>
      <c r="AG251" s="10"/>
      <c r="AH251" s="10"/>
      <c r="AI251" s="10"/>
      <c r="AJ251" s="10"/>
    </row>
    <row r="252" spans="1:36" s="20" customFormat="1" ht="12.75">
      <c r="A252" s="324"/>
      <c r="B252" s="252" t="s">
        <v>47</v>
      </c>
      <c r="C252" s="24">
        <f>C254</f>
        <v>178</v>
      </c>
      <c r="D252" s="33"/>
      <c r="E252" s="24">
        <f>E254</f>
        <v>64.78</v>
      </c>
      <c r="F252" s="24">
        <f>F254</f>
        <v>113.22</v>
      </c>
      <c r="G252" s="3"/>
      <c r="H252" s="24">
        <f>H254</f>
        <v>252.311</v>
      </c>
      <c r="I252" s="33"/>
      <c r="J252" s="24">
        <f>J254</f>
        <v>46.269</v>
      </c>
      <c r="K252" s="24">
        <f>K254</f>
        <v>206.042</v>
      </c>
      <c r="L252" s="3"/>
      <c r="M252" s="3"/>
      <c r="N252" s="3"/>
      <c r="O252" s="3"/>
      <c r="P252" s="3"/>
      <c r="Q252" s="3"/>
      <c r="R252" s="24">
        <f>R254</f>
        <v>252.311</v>
      </c>
      <c r="S252" s="33"/>
      <c r="T252" s="24">
        <f>T254</f>
        <v>46.269</v>
      </c>
      <c r="U252" s="24">
        <f>U254</f>
        <v>206.042</v>
      </c>
      <c r="V252" s="3"/>
      <c r="W252" s="3"/>
      <c r="X252" s="3"/>
      <c r="Y252" s="3"/>
      <c r="Z252" s="3"/>
      <c r="AA252" s="3"/>
      <c r="AB252" s="3"/>
      <c r="AC252" s="3"/>
      <c r="AD252" s="3"/>
      <c r="AE252" s="19"/>
      <c r="AF252" s="19"/>
      <c r="AG252" s="19"/>
      <c r="AH252" s="19"/>
      <c r="AI252" s="19"/>
      <c r="AJ252" s="19"/>
    </row>
    <row r="253" spans="1:36" ht="12.75">
      <c r="A253" s="321"/>
      <c r="B253" s="252" t="s">
        <v>727</v>
      </c>
      <c r="C253" s="49"/>
      <c r="D253" s="32"/>
      <c r="E253" s="32"/>
      <c r="F253" s="32"/>
      <c r="G253" s="3"/>
      <c r="H253" s="23"/>
      <c r="I253" s="23"/>
      <c r="J253" s="322"/>
      <c r="K253" s="23"/>
      <c r="L253" s="8"/>
      <c r="M253" s="8"/>
      <c r="N253" s="8"/>
      <c r="O253" s="8"/>
      <c r="P253" s="8"/>
      <c r="Q253" s="8"/>
      <c r="R253" s="8"/>
      <c r="S253" s="8"/>
      <c r="T253" s="323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10"/>
      <c r="AF253" s="10"/>
      <c r="AG253" s="10"/>
      <c r="AH253" s="10"/>
      <c r="AI253" s="10"/>
      <c r="AJ253" s="10"/>
    </row>
    <row r="254" spans="1:36" ht="12.75">
      <c r="A254" s="321"/>
      <c r="B254" s="177" t="s">
        <v>847</v>
      </c>
      <c r="C254" s="23">
        <f>E254+F254</f>
        <v>178</v>
      </c>
      <c r="D254" s="23"/>
      <c r="E254" s="23">
        <v>64.78</v>
      </c>
      <c r="F254" s="23">
        <v>113.22</v>
      </c>
      <c r="G254" s="3"/>
      <c r="H254" s="23">
        <v>252.311</v>
      </c>
      <c r="I254" s="23"/>
      <c r="J254" s="322">
        <v>46.269</v>
      </c>
      <c r="K254" s="23">
        <v>206.042</v>
      </c>
      <c r="L254" s="8"/>
      <c r="M254" s="8"/>
      <c r="N254" s="8"/>
      <c r="O254" s="8"/>
      <c r="P254" s="8"/>
      <c r="Q254" s="8"/>
      <c r="R254" s="23">
        <v>252.311</v>
      </c>
      <c r="S254" s="23"/>
      <c r="T254" s="322">
        <v>46.269</v>
      </c>
      <c r="U254" s="23">
        <v>206.042</v>
      </c>
      <c r="V254" s="8"/>
      <c r="W254" s="8"/>
      <c r="X254" s="8"/>
      <c r="Y254" s="8"/>
      <c r="Z254" s="8"/>
      <c r="AA254" s="8"/>
      <c r="AB254" s="8"/>
      <c r="AC254" s="8"/>
      <c r="AD254" s="8"/>
      <c r="AE254" s="10"/>
      <c r="AF254" s="10"/>
      <c r="AG254" s="10"/>
      <c r="AH254" s="10"/>
      <c r="AI254" s="10"/>
      <c r="AJ254" s="10"/>
    </row>
    <row r="255" spans="1:36" ht="12.75">
      <c r="A255" s="40"/>
      <c r="B255" s="252" t="s">
        <v>145</v>
      </c>
      <c r="C255" s="24">
        <f>C257</f>
        <v>178</v>
      </c>
      <c r="D255" s="24"/>
      <c r="E255" s="24">
        <f>E257</f>
        <v>64.78</v>
      </c>
      <c r="F255" s="24">
        <f>F257</f>
        <v>113.22</v>
      </c>
      <c r="G255" s="3"/>
      <c r="H255" s="24">
        <f>H257</f>
        <v>166.102</v>
      </c>
      <c r="I255" s="8"/>
      <c r="J255" s="24">
        <f>J257</f>
        <v>40.741</v>
      </c>
      <c r="K255" s="24">
        <f>K257</f>
        <v>125.361</v>
      </c>
      <c r="L255" s="8"/>
      <c r="M255" s="8"/>
      <c r="N255" s="8"/>
      <c r="O255" s="8"/>
      <c r="P255" s="8"/>
      <c r="Q255" s="8"/>
      <c r="R255" s="24">
        <f>R257</f>
        <v>166.102</v>
      </c>
      <c r="S255" s="8"/>
      <c r="T255" s="24">
        <f>T257</f>
        <v>40.741</v>
      </c>
      <c r="U255" s="24">
        <f>U257</f>
        <v>125.361</v>
      </c>
      <c r="V255" s="8"/>
      <c r="W255" s="8"/>
      <c r="X255" s="8"/>
      <c r="Y255" s="8"/>
      <c r="Z255" s="8"/>
      <c r="AA255" s="8"/>
      <c r="AB255" s="8"/>
      <c r="AC255" s="8"/>
      <c r="AD255" s="8"/>
      <c r="AE255" s="10"/>
      <c r="AF255" s="10"/>
      <c r="AG255" s="10"/>
      <c r="AH255" s="10"/>
      <c r="AI255" s="10"/>
      <c r="AJ255" s="10"/>
    </row>
    <row r="256" spans="1:36" ht="12.75">
      <c r="A256" s="40"/>
      <c r="B256" s="252" t="s">
        <v>766</v>
      </c>
      <c r="C256" s="163"/>
      <c r="D256" s="3"/>
      <c r="E256" s="3"/>
      <c r="F256" s="3"/>
      <c r="G256" s="3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10"/>
      <c r="AF256" s="10"/>
      <c r="AG256" s="10"/>
      <c r="AH256" s="10"/>
      <c r="AI256" s="10"/>
      <c r="AJ256" s="10"/>
    </row>
    <row r="257" spans="1:36" ht="12.75">
      <c r="A257" s="40"/>
      <c r="B257" s="269" t="s">
        <v>848</v>
      </c>
      <c r="C257" s="23">
        <f>E257+F257</f>
        <v>178</v>
      </c>
      <c r="D257" s="23"/>
      <c r="E257" s="23">
        <v>64.78</v>
      </c>
      <c r="F257" s="23">
        <v>113.22</v>
      </c>
      <c r="G257" s="23"/>
      <c r="H257" s="23">
        <v>166.102</v>
      </c>
      <c r="I257" s="23"/>
      <c r="J257" s="23">
        <f>H257-K257</f>
        <v>40.741</v>
      </c>
      <c r="K257" s="23">
        <v>125.361</v>
      </c>
      <c r="L257" s="23"/>
      <c r="M257" s="23"/>
      <c r="N257" s="23"/>
      <c r="O257" s="23"/>
      <c r="P257" s="23"/>
      <c r="Q257" s="23"/>
      <c r="R257" s="23">
        <v>166.102</v>
      </c>
      <c r="S257" s="23"/>
      <c r="T257" s="23">
        <f>R257-U257</f>
        <v>40.741</v>
      </c>
      <c r="U257" s="23">
        <v>125.361</v>
      </c>
      <c r="V257" s="23"/>
      <c r="W257" s="8"/>
      <c r="X257" s="8"/>
      <c r="Y257" s="8"/>
      <c r="Z257" s="8"/>
      <c r="AA257" s="8"/>
      <c r="AB257" s="8"/>
      <c r="AC257" s="8"/>
      <c r="AD257" s="8"/>
      <c r="AE257" s="10"/>
      <c r="AF257" s="10"/>
      <c r="AG257" s="10"/>
      <c r="AH257" s="10"/>
      <c r="AI257" s="10"/>
      <c r="AJ257" s="10"/>
    </row>
    <row r="258" spans="1:36" s="20" customFormat="1" ht="12.75">
      <c r="A258" s="40"/>
      <c r="B258" s="252" t="s">
        <v>150</v>
      </c>
      <c r="C258" s="24">
        <f>C260</f>
        <v>178</v>
      </c>
      <c r="D258" s="24"/>
      <c r="E258" s="24">
        <f>E260</f>
        <v>64.78</v>
      </c>
      <c r="F258" s="24">
        <f>F260</f>
        <v>113.22</v>
      </c>
      <c r="G258" s="24"/>
      <c r="H258" s="24">
        <f>H260</f>
        <v>188.601</v>
      </c>
      <c r="I258" s="24"/>
      <c r="J258" s="24">
        <f>J260</f>
        <v>41.966</v>
      </c>
      <c r="K258" s="24">
        <f>K260</f>
        <v>146.635</v>
      </c>
      <c r="L258" s="24"/>
      <c r="M258" s="24"/>
      <c r="N258" s="24"/>
      <c r="O258" s="24"/>
      <c r="P258" s="24"/>
      <c r="Q258" s="24"/>
      <c r="R258" s="24">
        <f>R260</f>
        <v>188.601</v>
      </c>
      <c r="S258" s="24"/>
      <c r="T258" s="24">
        <f>T260</f>
        <v>41.966</v>
      </c>
      <c r="U258" s="24">
        <f>U260</f>
        <v>146.635</v>
      </c>
      <c r="V258" s="24"/>
      <c r="W258" s="3"/>
      <c r="X258" s="3"/>
      <c r="Y258" s="3"/>
      <c r="Z258" s="3"/>
      <c r="AA258" s="3"/>
      <c r="AB258" s="3"/>
      <c r="AC258" s="3"/>
      <c r="AD258" s="3"/>
      <c r="AE258" s="19"/>
      <c r="AF258" s="19"/>
      <c r="AG258" s="19"/>
      <c r="AH258" s="19"/>
      <c r="AI258" s="19"/>
      <c r="AJ258" s="19"/>
    </row>
    <row r="259" spans="1:36" ht="12.75">
      <c r="A259" s="40"/>
      <c r="B259" s="252" t="s">
        <v>849</v>
      </c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8"/>
      <c r="X259" s="8"/>
      <c r="Y259" s="8"/>
      <c r="Z259" s="8"/>
      <c r="AA259" s="8"/>
      <c r="AB259" s="8"/>
      <c r="AC259" s="8"/>
      <c r="AD259" s="8"/>
      <c r="AE259" s="10"/>
      <c r="AF259" s="10"/>
      <c r="AG259" s="10"/>
      <c r="AH259" s="10"/>
      <c r="AI259" s="10"/>
      <c r="AJ259" s="10"/>
    </row>
    <row r="260" spans="1:36" ht="12.75">
      <c r="A260" s="40"/>
      <c r="B260" s="244" t="s">
        <v>850</v>
      </c>
      <c r="C260" s="23">
        <f>E260+F260</f>
        <v>178</v>
      </c>
      <c r="D260" s="23"/>
      <c r="E260" s="23">
        <v>64.78</v>
      </c>
      <c r="F260" s="23">
        <v>113.22</v>
      </c>
      <c r="G260" s="23"/>
      <c r="H260" s="23">
        <f>J260+K260</f>
        <v>188.601</v>
      </c>
      <c r="I260" s="23"/>
      <c r="J260" s="23">
        <f>41.966</f>
        <v>41.966</v>
      </c>
      <c r="K260" s="23">
        <v>146.635</v>
      </c>
      <c r="L260" s="23"/>
      <c r="M260" s="23"/>
      <c r="N260" s="23"/>
      <c r="O260" s="23"/>
      <c r="P260" s="23"/>
      <c r="Q260" s="23"/>
      <c r="R260" s="23">
        <f>T260+U260</f>
        <v>188.601</v>
      </c>
      <c r="S260" s="23"/>
      <c r="T260" s="23">
        <f>41.966</f>
        <v>41.966</v>
      </c>
      <c r="U260" s="23">
        <v>146.635</v>
      </c>
      <c r="V260" s="23"/>
      <c r="W260" s="8"/>
      <c r="X260" s="8"/>
      <c r="Y260" s="8"/>
      <c r="Z260" s="8"/>
      <c r="AA260" s="8"/>
      <c r="AB260" s="8"/>
      <c r="AC260" s="8"/>
      <c r="AD260" s="8"/>
      <c r="AE260" s="10"/>
      <c r="AF260" s="10"/>
      <c r="AG260" s="10"/>
      <c r="AH260" s="10"/>
      <c r="AI260" s="10"/>
      <c r="AJ260" s="10"/>
    </row>
    <row r="261" spans="1:36" s="20" customFormat="1" ht="12.75">
      <c r="A261" s="178"/>
      <c r="B261" s="40" t="s">
        <v>156</v>
      </c>
      <c r="C261" s="24">
        <f>C263+C265+C267</f>
        <v>178</v>
      </c>
      <c r="D261" s="24"/>
      <c r="E261" s="24">
        <f>E263+E265+E267</f>
        <v>64.78</v>
      </c>
      <c r="F261" s="24">
        <f>F263+F265+F267</f>
        <v>113.22</v>
      </c>
      <c r="G261" s="24"/>
      <c r="H261" s="24">
        <f>H263+H265+H267</f>
        <v>157.125</v>
      </c>
      <c r="I261" s="24"/>
      <c r="J261" s="24">
        <f>J263+J265+J267</f>
        <v>110.976</v>
      </c>
      <c r="K261" s="24">
        <f>K263+K265+K267</f>
        <v>46.149</v>
      </c>
      <c r="L261" s="24"/>
      <c r="M261" s="24"/>
      <c r="N261" s="24"/>
      <c r="O261" s="24"/>
      <c r="P261" s="24"/>
      <c r="Q261" s="24"/>
      <c r="R261" s="24">
        <f>R263+R265+R267</f>
        <v>157.125</v>
      </c>
      <c r="S261" s="24"/>
      <c r="T261" s="24">
        <f>T263+T265+T267</f>
        <v>110.976</v>
      </c>
      <c r="U261" s="24">
        <f>U263+U265+U267</f>
        <v>46.149</v>
      </c>
      <c r="V261" s="3"/>
      <c r="W261" s="3"/>
      <c r="X261" s="3"/>
      <c r="Y261" s="3"/>
      <c r="Z261" s="3"/>
      <c r="AA261" s="3"/>
      <c r="AB261" s="3"/>
      <c r="AC261" s="3"/>
      <c r="AD261" s="3"/>
      <c r="AE261" s="19"/>
      <c r="AF261" s="19"/>
      <c r="AG261" s="19"/>
      <c r="AH261" s="19"/>
      <c r="AI261" s="19"/>
      <c r="AJ261" s="19"/>
    </row>
    <row r="262" spans="1:36" ht="12.75">
      <c r="A262" s="178"/>
      <c r="B262" s="40" t="s">
        <v>791</v>
      </c>
      <c r="C262" s="163"/>
      <c r="D262" s="3"/>
      <c r="E262" s="3"/>
      <c r="F262" s="3"/>
      <c r="G262" s="3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10"/>
      <c r="AF262" s="10"/>
      <c r="AG262" s="10"/>
      <c r="AH262" s="10"/>
      <c r="AI262" s="10"/>
      <c r="AJ262" s="10"/>
    </row>
    <row r="263" spans="1:36" ht="12.75">
      <c r="A263" s="40"/>
      <c r="B263" s="244" t="s">
        <v>851</v>
      </c>
      <c r="C263" s="23">
        <f>E263+F263</f>
        <v>178</v>
      </c>
      <c r="D263" s="23"/>
      <c r="E263" s="23">
        <v>64.78</v>
      </c>
      <c r="F263" s="23">
        <v>113.22</v>
      </c>
      <c r="G263" s="3"/>
      <c r="H263" s="23">
        <v>52.375</v>
      </c>
      <c r="I263" s="23"/>
      <c r="J263" s="23">
        <v>36.992</v>
      </c>
      <c r="K263" s="23">
        <v>15.383</v>
      </c>
      <c r="L263" s="23"/>
      <c r="M263" s="23"/>
      <c r="N263" s="23"/>
      <c r="O263" s="23"/>
      <c r="P263" s="23"/>
      <c r="Q263" s="23"/>
      <c r="R263" s="23">
        <v>52.375</v>
      </c>
      <c r="S263" s="23"/>
      <c r="T263" s="23">
        <v>36.992</v>
      </c>
      <c r="U263" s="23">
        <v>15.383</v>
      </c>
      <c r="V263" s="8"/>
      <c r="W263" s="8"/>
      <c r="X263" s="8"/>
      <c r="Y263" s="8"/>
      <c r="Z263" s="8"/>
      <c r="AA263" s="8"/>
      <c r="AB263" s="8"/>
      <c r="AC263" s="8"/>
      <c r="AD263" s="8"/>
      <c r="AE263" s="10"/>
      <c r="AF263" s="10"/>
      <c r="AG263" s="10"/>
      <c r="AH263" s="10"/>
      <c r="AI263" s="10"/>
      <c r="AJ263" s="10"/>
    </row>
    <row r="264" spans="1:36" ht="12.75">
      <c r="A264" s="40"/>
      <c r="B264" s="53" t="s">
        <v>784</v>
      </c>
      <c r="C264" s="3"/>
      <c r="D264" s="3"/>
      <c r="E264" s="3"/>
      <c r="F264" s="3"/>
      <c r="G264" s="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8"/>
      <c r="W264" s="8"/>
      <c r="X264" s="8"/>
      <c r="Y264" s="8"/>
      <c r="Z264" s="8"/>
      <c r="AA264" s="8"/>
      <c r="AB264" s="8"/>
      <c r="AC264" s="8"/>
      <c r="AD264" s="8"/>
      <c r="AE264" s="10"/>
      <c r="AF264" s="10"/>
      <c r="AG264" s="10"/>
      <c r="AH264" s="10"/>
      <c r="AI264" s="10"/>
      <c r="AJ264" s="10"/>
    </row>
    <row r="265" spans="1:36" ht="12.75">
      <c r="A265" s="40"/>
      <c r="B265" s="244" t="s">
        <v>852</v>
      </c>
      <c r="C265" s="8">
        <v>0</v>
      </c>
      <c r="D265" s="3"/>
      <c r="E265" s="8">
        <v>0</v>
      </c>
      <c r="F265" s="8">
        <v>0</v>
      </c>
      <c r="G265" s="3"/>
      <c r="H265" s="23">
        <v>52.375</v>
      </c>
      <c r="I265" s="23"/>
      <c r="J265" s="23">
        <v>36.992</v>
      </c>
      <c r="K265" s="23">
        <v>15.383</v>
      </c>
      <c r="L265" s="23"/>
      <c r="M265" s="23"/>
      <c r="N265" s="23"/>
      <c r="O265" s="23"/>
      <c r="P265" s="23"/>
      <c r="Q265" s="23"/>
      <c r="R265" s="23">
        <v>52.375</v>
      </c>
      <c r="S265" s="23"/>
      <c r="T265" s="23">
        <v>36.992</v>
      </c>
      <c r="U265" s="23">
        <v>15.383</v>
      </c>
      <c r="V265" s="8"/>
      <c r="W265" s="8"/>
      <c r="X265" s="8"/>
      <c r="Y265" s="8"/>
      <c r="Z265" s="8"/>
      <c r="AA265" s="8"/>
      <c r="AB265" s="8"/>
      <c r="AC265" s="8"/>
      <c r="AD265" s="8"/>
      <c r="AE265" s="10"/>
      <c r="AF265" s="10"/>
      <c r="AG265" s="10"/>
      <c r="AH265" s="10"/>
      <c r="AI265" s="10"/>
      <c r="AJ265" s="10"/>
    </row>
    <row r="266" spans="1:36" ht="12.75">
      <c r="A266" s="40"/>
      <c r="B266" s="53" t="s">
        <v>787</v>
      </c>
      <c r="C266" s="8"/>
      <c r="D266" s="3"/>
      <c r="E266" s="8"/>
      <c r="F266" s="8"/>
      <c r="G266" s="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8"/>
      <c r="W266" s="8"/>
      <c r="X266" s="8"/>
      <c r="Y266" s="8"/>
      <c r="Z266" s="8"/>
      <c r="AA266" s="8"/>
      <c r="AB266" s="8"/>
      <c r="AC266" s="8"/>
      <c r="AD266" s="8"/>
      <c r="AE266" s="10"/>
      <c r="AF266" s="10"/>
      <c r="AG266" s="10"/>
      <c r="AH266" s="10"/>
      <c r="AI266" s="10"/>
      <c r="AJ266" s="10"/>
    </row>
    <row r="267" spans="1:36" ht="12.75">
      <c r="A267" s="40"/>
      <c r="B267" s="244" t="s">
        <v>853</v>
      </c>
      <c r="C267" s="8">
        <v>0</v>
      </c>
      <c r="D267" s="3"/>
      <c r="E267" s="8">
        <v>0</v>
      </c>
      <c r="F267" s="8">
        <v>0</v>
      </c>
      <c r="G267" s="3"/>
      <c r="H267" s="23">
        <v>52.375</v>
      </c>
      <c r="I267" s="23"/>
      <c r="J267" s="23">
        <v>36.992</v>
      </c>
      <c r="K267" s="23">
        <v>15.383</v>
      </c>
      <c r="L267" s="23"/>
      <c r="M267" s="23"/>
      <c r="N267" s="23"/>
      <c r="O267" s="23"/>
      <c r="P267" s="23"/>
      <c r="Q267" s="23"/>
      <c r="R267" s="23">
        <v>52.375</v>
      </c>
      <c r="S267" s="23"/>
      <c r="T267" s="23">
        <v>36.992</v>
      </c>
      <c r="U267" s="23">
        <v>15.383</v>
      </c>
      <c r="V267" s="8"/>
      <c r="W267" s="8"/>
      <c r="X267" s="8"/>
      <c r="Y267" s="8"/>
      <c r="Z267" s="8"/>
      <c r="AA267" s="8"/>
      <c r="AB267" s="8"/>
      <c r="AC267" s="8"/>
      <c r="AD267" s="8"/>
      <c r="AE267" s="10"/>
      <c r="AF267" s="10"/>
      <c r="AG267" s="10"/>
      <c r="AH267" s="10"/>
      <c r="AI267" s="10"/>
      <c r="AJ267" s="10"/>
    </row>
    <row r="268" spans="1:36" ht="9.75" customHeight="1">
      <c r="A268" s="40"/>
      <c r="B268" s="244"/>
      <c r="C268" s="3"/>
      <c r="D268" s="3"/>
      <c r="E268" s="3"/>
      <c r="F268" s="3"/>
      <c r="G268" s="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8"/>
      <c r="W268" s="8"/>
      <c r="X268" s="8"/>
      <c r="Y268" s="8"/>
      <c r="Z268" s="8"/>
      <c r="AA268" s="8"/>
      <c r="AB268" s="8"/>
      <c r="AC268" s="8"/>
      <c r="AD268" s="8"/>
      <c r="AE268" s="10"/>
      <c r="AF268" s="10"/>
      <c r="AG268" s="10"/>
      <c r="AH268" s="10"/>
      <c r="AI268" s="10"/>
      <c r="AJ268" s="10"/>
    </row>
    <row r="269" spans="1:36" ht="12.75">
      <c r="A269" s="178"/>
      <c r="B269" s="40" t="s">
        <v>169</v>
      </c>
      <c r="C269" s="24">
        <f>C271+C272</f>
        <v>356</v>
      </c>
      <c r="D269" s="3"/>
      <c r="E269" s="24">
        <f>E271+E272</f>
        <v>129.56</v>
      </c>
      <c r="F269" s="24">
        <f>F271+F272</f>
        <v>226.44</v>
      </c>
      <c r="G269" s="3"/>
      <c r="H269" s="24">
        <f>H271+H272</f>
        <v>328.558</v>
      </c>
      <c r="I269" s="3"/>
      <c r="J269" s="24">
        <f>J271+J272</f>
        <v>77.512</v>
      </c>
      <c r="K269" s="24">
        <f>K271+K272</f>
        <v>251.046</v>
      </c>
      <c r="L269" s="24"/>
      <c r="M269" s="24"/>
      <c r="N269" s="24"/>
      <c r="O269" s="24"/>
      <c r="P269" s="24"/>
      <c r="Q269" s="24"/>
      <c r="R269" s="24">
        <f>R271+R272</f>
        <v>328.558</v>
      </c>
      <c r="S269" s="3"/>
      <c r="T269" s="24">
        <f>T271+T272</f>
        <v>77.512</v>
      </c>
      <c r="U269" s="24">
        <f>U271+U272</f>
        <v>251.046</v>
      </c>
      <c r="V269" s="8"/>
      <c r="W269" s="8"/>
      <c r="X269" s="8"/>
      <c r="Y269" s="8"/>
      <c r="Z269" s="8"/>
      <c r="AA269" s="8"/>
      <c r="AB269" s="8"/>
      <c r="AC269" s="8"/>
      <c r="AD269" s="8"/>
      <c r="AE269" s="10"/>
      <c r="AF269" s="10"/>
      <c r="AG269" s="10"/>
      <c r="AH269" s="10"/>
      <c r="AI269" s="10"/>
      <c r="AJ269" s="10"/>
    </row>
    <row r="270" spans="1:36" ht="12.75">
      <c r="A270" s="40"/>
      <c r="B270" s="53" t="s">
        <v>811</v>
      </c>
      <c r="C270" s="24"/>
      <c r="D270" s="3"/>
      <c r="E270" s="3"/>
      <c r="F270" s="3"/>
      <c r="G270" s="3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8"/>
      <c r="W270" s="8"/>
      <c r="X270" s="8"/>
      <c r="Y270" s="8"/>
      <c r="Z270" s="8"/>
      <c r="AA270" s="8"/>
      <c r="AB270" s="8"/>
      <c r="AC270" s="8"/>
      <c r="AD270" s="8"/>
      <c r="AE270" s="10"/>
      <c r="AF270" s="10"/>
      <c r="AG270" s="10"/>
      <c r="AH270" s="10"/>
      <c r="AI270" s="10"/>
      <c r="AJ270" s="10"/>
    </row>
    <row r="271" spans="1:36" ht="73.5" customHeight="1">
      <c r="A271" s="40"/>
      <c r="B271" s="244" t="s">
        <v>968</v>
      </c>
      <c r="C271" s="23">
        <f>E271+F271</f>
        <v>178</v>
      </c>
      <c r="D271" s="23"/>
      <c r="E271" s="23">
        <v>64.78</v>
      </c>
      <c r="F271" s="23">
        <v>113.22</v>
      </c>
      <c r="G271" s="3"/>
      <c r="H271" s="23">
        <v>153.8</v>
      </c>
      <c r="I271" s="24"/>
      <c r="J271" s="23">
        <v>38.56</v>
      </c>
      <c r="K271" s="23">
        <v>115.24</v>
      </c>
      <c r="L271" s="28"/>
      <c r="M271" s="8"/>
      <c r="N271" s="8"/>
      <c r="O271" s="8"/>
      <c r="P271" s="8"/>
      <c r="Q271" s="8"/>
      <c r="R271" s="23">
        <v>153.8</v>
      </c>
      <c r="S271" s="23"/>
      <c r="T271" s="23">
        <v>38.56</v>
      </c>
      <c r="U271" s="23">
        <v>115.24</v>
      </c>
      <c r="V271" s="28"/>
      <c r="W271" s="8"/>
      <c r="X271" s="8"/>
      <c r="Y271" s="8"/>
      <c r="Z271" s="8"/>
      <c r="AA271" s="8"/>
      <c r="AB271" s="8"/>
      <c r="AC271" s="8"/>
      <c r="AD271" s="8"/>
      <c r="AE271" s="10"/>
      <c r="AF271" s="10"/>
      <c r="AG271" s="10"/>
      <c r="AH271" s="10"/>
      <c r="AI271" s="10"/>
      <c r="AJ271" s="10"/>
    </row>
    <row r="272" spans="1:36" ht="51.75" customHeight="1">
      <c r="A272" s="40"/>
      <c r="B272" s="244" t="s">
        <v>855</v>
      </c>
      <c r="C272" s="23">
        <f>E272+F272</f>
        <v>178</v>
      </c>
      <c r="D272" s="23"/>
      <c r="E272" s="23">
        <v>64.78</v>
      </c>
      <c r="F272" s="23">
        <v>113.22</v>
      </c>
      <c r="G272" s="3"/>
      <c r="H272" s="23">
        <v>174.758</v>
      </c>
      <c r="I272" s="24"/>
      <c r="J272" s="23">
        <v>38.952</v>
      </c>
      <c r="K272" s="23">
        <v>135.806</v>
      </c>
      <c r="L272" s="28"/>
      <c r="M272" s="8"/>
      <c r="N272" s="8"/>
      <c r="O272" s="8"/>
      <c r="P272" s="8"/>
      <c r="Q272" s="8"/>
      <c r="R272" s="23">
        <v>174.758</v>
      </c>
      <c r="S272" s="28"/>
      <c r="T272" s="23">
        <v>38.952</v>
      </c>
      <c r="U272" s="23">
        <v>135.806</v>
      </c>
      <c r="V272" s="28"/>
      <c r="W272" s="8"/>
      <c r="X272" s="8"/>
      <c r="Y272" s="8"/>
      <c r="Z272" s="8"/>
      <c r="AA272" s="8"/>
      <c r="AB272" s="8"/>
      <c r="AC272" s="8"/>
      <c r="AD272" s="8"/>
      <c r="AE272" s="10"/>
      <c r="AF272" s="10"/>
      <c r="AG272" s="10"/>
      <c r="AH272" s="10"/>
      <c r="AI272" s="10"/>
      <c r="AJ272" s="10"/>
    </row>
    <row r="273" spans="1:36" ht="12.75">
      <c r="A273" s="40"/>
      <c r="B273" s="10"/>
      <c r="C273" s="3"/>
      <c r="D273" s="3"/>
      <c r="E273" s="3"/>
      <c r="F273" s="3"/>
      <c r="G273" s="3"/>
      <c r="H273" s="28"/>
      <c r="I273" s="28"/>
      <c r="J273" s="28"/>
      <c r="K273" s="28"/>
      <c r="L273" s="28"/>
      <c r="M273" s="8"/>
      <c r="N273" s="8"/>
      <c r="O273" s="8"/>
      <c r="P273" s="8"/>
      <c r="Q273" s="8"/>
      <c r="R273" s="28"/>
      <c r="S273" s="28"/>
      <c r="T273" s="28"/>
      <c r="U273" s="28"/>
      <c r="V273" s="28"/>
      <c r="W273" s="8"/>
      <c r="X273" s="8"/>
      <c r="Y273" s="8"/>
      <c r="Z273" s="8"/>
      <c r="AA273" s="8"/>
      <c r="AB273" s="8"/>
      <c r="AC273" s="8"/>
      <c r="AD273" s="8"/>
      <c r="AE273" s="10"/>
      <c r="AF273" s="10"/>
      <c r="AG273" s="10"/>
      <c r="AH273" s="10"/>
      <c r="AI273" s="10"/>
      <c r="AJ273" s="10"/>
    </row>
    <row r="274" spans="1:38" s="20" customFormat="1" ht="12.75">
      <c r="A274" s="273" t="s">
        <v>856</v>
      </c>
      <c r="B274" s="274" t="s">
        <v>857</v>
      </c>
      <c r="C274" s="3">
        <v>650</v>
      </c>
      <c r="D274" s="3"/>
      <c r="E274" s="3">
        <v>0</v>
      </c>
      <c r="F274" s="3">
        <v>650</v>
      </c>
      <c r="G274" s="3"/>
      <c r="H274" s="24">
        <f>J274+K274</f>
        <v>656.162</v>
      </c>
      <c r="I274" s="24"/>
      <c r="J274" s="24">
        <f>38.012+130.428+29.33</f>
        <v>197.76999999999998</v>
      </c>
      <c r="K274" s="24">
        <f>132.581+244.687+81.124</f>
        <v>458.39200000000005</v>
      </c>
      <c r="L274" s="30"/>
      <c r="M274" s="3"/>
      <c r="N274" s="3"/>
      <c r="O274" s="3"/>
      <c r="P274" s="3"/>
      <c r="Q274" s="3"/>
      <c r="R274" s="24">
        <f>T274+U274</f>
        <v>656.162</v>
      </c>
      <c r="S274" s="24"/>
      <c r="T274" s="24">
        <f>38.012+130.428+29.33</f>
        <v>197.76999999999998</v>
      </c>
      <c r="U274" s="24">
        <f>132.581+244.687+81.124</f>
        <v>458.39200000000005</v>
      </c>
      <c r="V274" s="30"/>
      <c r="W274" s="3"/>
      <c r="X274" s="3"/>
      <c r="Y274" s="3"/>
      <c r="Z274" s="3"/>
      <c r="AA274" s="3"/>
      <c r="AB274" s="3"/>
      <c r="AC274" s="3"/>
      <c r="AD274" s="3"/>
      <c r="AE274" s="19"/>
      <c r="AF274" s="19"/>
      <c r="AG274" s="19"/>
      <c r="AH274" s="19"/>
      <c r="AI274" s="19"/>
      <c r="AJ274" s="19"/>
      <c r="AK274" s="223"/>
      <c r="AL274" s="223"/>
    </row>
    <row r="275" spans="1:36" s="20" customFormat="1" ht="31.5" customHeight="1">
      <c r="A275" s="146" t="s">
        <v>577</v>
      </c>
      <c r="B275" s="146" t="s">
        <v>858</v>
      </c>
      <c r="C275" s="147">
        <f>C276+C282</f>
        <v>3294.987</v>
      </c>
      <c r="D275" s="147">
        <f>D276+D282</f>
        <v>197.779</v>
      </c>
      <c r="E275" s="147">
        <f>E276+E282</f>
        <v>1094.074</v>
      </c>
      <c r="F275" s="147">
        <f>F276+F282</f>
        <v>2003.134</v>
      </c>
      <c r="G275" s="147"/>
      <c r="H275" s="147">
        <f>H276+H282</f>
        <v>56902.368</v>
      </c>
      <c r="I275" s="147">
        <f>I276+I282</f>
        <v>529.0989999999999</v>
      </c>
      <c r="J275" s="147">
        <f>J276+J282</f>
        <v>15715.27</v>
      </c>
      <c r="K275" s="147">
        <f>K276+K282</f>
        <v>40657.999999999985</v>
      </c>
      <c r="L275" s="146"/>
      <c r="M275" s="146"/>
      <c r="N275" s="146"/>
      <c r="O275" s="146"/>
      <c r="P275" s="146"/>
      <c r="Q275" s="146"/>
      <c r="R275" s="147">
        <f>R276+R282</f>
        <v>56902.368</v>
      </c>
      <c r="S275" s="147">
        <f>S276+S282</f>
        <v>529.0989999999999</v>
      </c>
      <c r="T275" s="147">
        <f>T276+T282</f>
        <v>15715.27</v>
      </c>
      <c r="U275" s="147">
        <f>U276+U282</f>
        <v>40657.999999999985</v>
      </c>
      <c r="V275" s="146"/>
      <c r="W275" s="146"/>
      <c r="X275" s="146"/>
      <c r="Y275" s="146"/>
      <c r="Z275" s="146"/>
      <c r="AA275" s="146"/>
      <c r="AB275" s="146"/>
      <c r="AC275" s="146"/>
      <c r="AD275" s="146"/>
      <c r="AE275" s="160"/>
      <c r="AF275" s="160"/>
      <c r="AG275" s="160"/>
      <c r="AH275" s="160"/>
      <c r="AI275" s="160"/>
      <c r="AJ275" s="160"/>
    </row>
    <row r="276" spans="1:36" s="20" customFormat="1" ht="33" customHeight="1">
      <c r="A276" s="3" t="s">
        <v>328</v>
      </c>
      <c r="B276" s="3" t="s">
        <v>32</v>
      </c>
      <c r="C276" s="24">
        <f>C277+C278+C279+C280+C281</f>
        <v>3294.987</v>
      </c>
      <c r="D276" s="24">
        <f>D277+D278+D279+D280+D281</f>
        <v>197.779</v>
      </c>
      <c r="E276" s="24">
        <f>E277+E278+E279+E280+E281</f>
        <v>1094.074</v>
      </c>
      <c r="F276" s="24">
        <f>F277+F278+F279+F280+F281</f>
        <v>2003.134</v>
      </c>
      <c r="G276" s="24"/>
      <c r="H276" s="24">
        <f>H277+H278+H279+H280+H281</f>
        <v>3318.0730000000003</v>
      </c>
      <c r="I276" s="24">
        <f>I277+I278+I279+I280+I281</f>
        <v>197.779</v>
      </c>
      <c r="J276" s="24">
        <f>J277+J278+J279+J280+J281</f>
        <v>739.557</v>
      </c>
      <c r="K276" s="24">
        <f>K277+K278+K279+K280+K281</f>
        <v>2380.738</v>
      </c>
      <c r="L276" s="3"/>
      <c r="M276" s="3"/>
      <c r="N276" s="3"/>
      <c r="O276" s="3"/>
      <c r="P276" s="3"/>
      <c r="Q276" s="3"/>
      <c r="R276" s="24">
        <f>R277+R278+R279+R280+R281</f>
        <v>3318.0730000000003</v>
      </c>
      <c r="S276" s="24">
        <f>S277+S278+S279+S280+S281</f>
        <v>197.779</v>
      </c>
      <c r="T276" s="24">
        <f>T277+T278+T279+T280+T281</f>
        <v>739.557</v>
      </c>
      <c r="U276" s="24">
        <f>U277+U278+U279+U280+U281</f>
        <v>2380.738</v>
      </c>
      <c r="V276" s="3"/>
      <c r="W276" s="3"/>
      <c r="X276" s="3"/>
      <c r="Y276" s="3"/>
      <c r="Z276" s="3"/>
      <c r="AA276" s="3"/>
      <c r="AB276" s="3"/>
      <c r="AC276" s="3"/>
      <c r="AD276" s="3"/>
      <c r="AE276" s="19"/>
      <c r="AF276" s="19"/>
      <c r="AG276" s="19"/>
      <c r="AH276" s="19"/>
      <c r="AI276" s="19"/>
      <c r="AJ276" s="19"/>
    </row>
    <row r="277" spans="1:36" ht="12.75">
      <c r="A277" s="325"/>
      <c r="B277" s="13" t="s">
        <v>859</v>
      </c>
      <c r="C277" s="23">
        <f>D277+E277+F277</f>
        <v>1694.703</v>
      </c>
      <c r="D277" s="23">
        <f>54.732+12.763+48</f>
        <v>115.495</v>
      </c>
      <c r="E277" s="23">
        <f>408.303+111.018</f>
        <v>519.321</v>
      </c>
      <c r="F277" s="23">
        <f>799.087+260.8</f>
        <v>1059.887</v>
      </c>
      <c r="G277" s="23"/>
      <c r="H277" s="23">
        <f>I277+J277+K277</f>
        <v>1322.885</v>
      </c>
      <c r="I277" s="23">
        <f>54.732+12.763+48</f>
        <v>115.495</v>
      </c>
      <c r="J277" s="23">
        <f>408.303</f>
        <v>408.303</v>
      </c>
      <c r="K277" s="23">
        <f>799.087</f>
        <v>799.087</v>
      </c>
      <c r="L277" s="28"/>
      <c r="M277" s="8"/>
      <c r="N277" s="8"/>
      <c r="O277" s="8"/>
      <c r="P277" s="8"/>
      <c r="Q277" s="8"/>
      <c r="R277" s="23">
        <f>S277+T277+U277</f>
        <v>1322.885</v>
      </c>
      <c r="S277" s="23">
        <f>54.732+12.763+48</f>
        <v>115.495</v>
      </c>
      <c r="T277" s="23">
        <f>408.303</f>
        <v>408.303</v>
      </c>
      <c r="U277" s="23">
        <f>799.087</f>
        <v>799.087</v>
      </c>
      <c r="V277" s="28"/>
      <c r="W277" s="8"/>
      <c r="X277" s="8"/>
      <c r="Y277" s="8"/>
      <c r="Z277" s="8"/>
      <c r="AA277" s="8"/>
      <c r="AB277" s="8"/>
      <c r="AC277" s="8"/>
      <c r="AD277" s="8"/>
      <c r="AE277" s="10"/>
      <c r="AF277" s="10"/>
      <c r="AG277" s="10"/>
      <c r="AH277" s="10"/>
      <c r="AI277" s="10"/>
      <c r="AJ277" s="10"/>
    </row>
    <row r="278" spans="1:36" ht="12.75">
      <c r="A278" s="325"/>
      <c r="B278" s="13" t="s">
        <v>362</v>
      </c>
      <c r="C278" s="23">
        <f>D278+E278+F278</f>
        <v>1418.078</v>
      </c>
      <c r="D278" s="23">
        <f>54.078</f>
        <v>54.078</v>
      </c>
      <c r="E278" s="23">
        <f>567.231-54.078</f>
        <v>513.153</v>
      </c>
      <c r="F278" s="23">
        <v>850.847</v>
      </c>
      <c r="G278" s="23"/>
      <c r="H278" s="23">
        <f>I278+J278+K278</f>
        <v>870.4630000000001</v>
      </c>
      <c r="I278" s="23">
        <f>54.078</f>
        <v>54.078</v>
      </c>
      <c r="J278" s="23">
        <v>107.685</v>
      </c>
      <c r="K278" s="23">
        <v>708.7</v>
      </c>
      <c r="L278" s="28"/>
      <c r="M278" s="8"/>
      <c r="N278" s="8"/>
      <c r="O278" s="8"/>
      <c r="P278" s="8"/>
      <c r="Q278" s="8"/>
      <c r="R278" s="23">
        <f>S278+T278+U278</f>
        <v>870.4630000000001</v>
      </c>
      <c r="S278" s="23">
        <f>54.078</f>
        <v>54.078</v>
      </c>
      <c r="T278" s="23">
        <v>107.685</v>
      </c>
      <c r="U278" s="23">
        <v>708.7</v>
      </c>
      <c r="V278" s="28"/>
      <c r="W278" s="8"/>
      <c r="X278" s="8"/>
      <c r="Y278" s="8"/>
      <c r="Z278" s="8"/>
      <c r="AA278" s="8"/>
      <c r="AB278" s="8"/>
      <c r="AC278" s="8"/>
      <c r="AD278" s="8"/>
      <c r="AE278" s="10"/>
      <c r="AF278" s="10"/>
      <c r="AG278" s="10"/>
      <c r="AH278" s="10"/>
      <c r="AI278" s="10"/>
      <c r="AJ278" s="10"/>
    </row>
    <row r="279" spans="1:36" ht="12.75">
      <c r="A279" s="325"/>
      <c r="B279" s="111" t="s">
        <v>365</v>
      </c>
      <c r="C279" s="23">
        <f>D279+E279+F279</f>
        <v>182.20600000000002</v>
      </c>
      <c r="D279" s="23">
        <f>28.206</f>
        <v>28.206</v>
      </c>
      <c r="E279" s="23">
        <v>61.6</v>
      </c>
      <c r="F279" s="23">
        <v>92.4</v>
      </c>
      <c r="G279" s="23"/>
      <c r="H279" s="23">
        <f>I279+J279+K279</f>
        <v>181.025</v>
      </c>
      <c r="I279" s="23">
        <f>28.206</f>
        <v>28.206</v>
      </c>
      <c r="J279" s="23">
        <v>53.222</v>
      </c>
      <c r="K279" s="23">
        <f>94.7+4.897</f>
        <v>99.59700000000001</v>
      </c>
      <c r="L279" s="28"/>
      <c r="M279" s="8"/>
      <c r="N279" s="8"/>
      <c r="O279" s="8"/>
      <c r="P279" s="8"/>
      <c r="Q279" s="8"/>
      <c r="R279" s="23">
        <f>S279+T279+U279</f>
        <v>181.025</v>
      </c>
      <c r="S279" s="23">
        <f>28.206</f>
        <v>28.206</v>
      </c>
      <c r="T279" s="23">
        <v>53.222</v>
      </c>
      <c r="U279" s="23">
        <f>94.7+4.897</f>
        <v>99.59700000000001</v>
      </c>
      <c r="V279" s="28"/>
      <c r="W279" s="8"/>
      <c r="X279" s="8"/>
      <c r="Y279" s="8"/>
      <c r="Z279" s="8"/>
      <c r="AA279" s="8"/>
      <c r="AB279" s="8"/>
      <c r="AC279" s="8"/>
      <c r="AD279" s="8"/>
      <c r="AE279" s="10"/>
      <c r="AF279" s="10"/>
      <c r="AG279" s="10"/>
      <c r="AH279" s="10"/>
      <c r="AI279" s="10"/>
      <c r="AJ279" s="10"/>
    </row>
    <row r="280" spans="1:36" ht="12.75">
      <c r="A280" s="325"/>
      <c r="B280" s="111" t="s">
        <v>860</v>
      </c>
      <c r="C280" s="8">
        <v>0</v>
      </c>
      <c r="D280" s="8">
        <v>0</v>
      </c>
      <c r="E280" s="8">
        <v>0</v>
      </c>
      <c r="F280" s="8">
        <v>0</v>
      </c>
      <c r="G280" s="8"/>
      <c r="H280" s="23">
        <v>96.21</v>
      </c>
      <c r="I280" s="23"/>
      <c r="J280" s="23">
        <v>45.187999999999995</v>
      </c>
      <c r="K280" s="23">
        <v>51.022</v>
      </c>
      <c r="L280" s="28"/>
      <c r="M280" s="8"/>
      <c r="N280" s="8"/>
      <c r="O280" s="8"/>
      <c r="P280" s="8"/>
      <c r="Q280" s="8"/>
      <c r="R280" s="23">
        <v>96.21</v>
      </c>
      <c r="S280" s="23"/>
      <c r="T280" s="23">
        <v>45.187999999999995</v>
      </c>
      <c r="U280" s="23">
        <v>51.022</v>
      </c>
      <c r="V280" s="28"/>
      <c r="W280" s="8"/>
      <c r="X280" s="8"/>
      <c r="Y280" s="8"/>
      <c r="Z280" s="8"/>
      <c r="AA280" s="8"/>
      <c r="AB280" s="8"/>
      <c r="AC280" s="8"/>
      <c r="AD280" s="8"/>
      <c r="AE280" s="10"/>
      <c r="AF280" s="10"/>
      <c r="AG280" s="10"/>
      <c r="AH280" s="10"/>
      <c r="AI280" s="10"/>
      <c r="AJ280" s="10"/>
    </row>
    <row r="281" spans="1:36" ht="12.75">
      <c r="A281" s="325"/>
      <c r="B281" s="111" t="s">
        <v>861</v>
      </c>
      <c r="C281" s="8">
        <v>0</v>
      </c>
      <c r="D281" s="8">
        <v>0</v>
      </c>
      <c r="E281" s="8">
        <v>0</v>
      </c>
      <c r="F281" s="8">
        <v>0</v>
      </c>
      <c r="G281" s="8"/>
      <c r="H281" s="23">
        <f>847.49</f>
        <v>847.49</v>
      </c>
      <c r="I281" s="23"/>
      <c r="J281" s="23">
        <v>125.15899999999999</v>
      </c>
      <c r="K281" s="23">
        <v>722.332</v>
      </c>
      <c r="L281" s="28"/>
      <c r="M281" s="8"/>
      <c r="N281" s="8"/>
      <c r="O281" s="8"/>
      <c r="P281" s="8"/>
      <c r="Q281" s="8"/>
      <c r="R281" s="23">
        <f>847.49</f>
        <v>847.49</v>
      </c>
      <c r="S281" s="23"/>
      <c r="T281" s="23">
        <v>125.15899999999999</v>
      </c>
      <c r="U281" s="23">
        <v>722.332</v>
      </c>
      <c r="V281" s="28"/>
      <c r="W281" s="8"/>
      <c r="X281" s="8"/>
      <c r="Y281" s="8"/>
      <c r="Z281" s="8"/>
      <c r="AA281" s="8"/>
      <c r="AB281" s="8"/>
      <c r="AC281" s="8"/>
      <c r="AD281" s="8"/>
      <c r="AE281" s="10"/>
      <c r="AF281" s="10"/>
      <c r="AG281" s="10"/>
      <c r="AH281" s="10"/>
      <c r="AI281" s="10"/>
      <c r="AJ281" s="10"/>
    </row>
    <row r="282" spans="1:36" ht="12.75">
      <c r="A282" s="146" t="s">
        <v>409</v>
      </c>
      <c r="B282" s="146" t="s">
        <v>862</v>
      </c>
      <c r="C282" s="146">
        <f>C283+C285+C287</f>
        <v>0</v>
      </c>
      <c r="D282" s="146">
        <f>D283+D285+D287</f>
        <v>0</v>
      </c>
      <c r="E282" s="146">
        <f>E283+E285+E287</f>
        <v>0</v>
      </c>
      <c r="F282" s="146">
        <f>F283+F285+F287</f>
        <v>0</v>
      </c>
      <c r="G282" s="146">
        <f>G283+G285+G287</f>
        <v>0</v>
      </c>
      <c r="H282" s="147">
        <f>H283+H285+H287+H289+H291+H293+H295+H297+H299+H301+H303+H305+H307</f>
        <v>53584.295000000006</v>
      </c>
      <c r="I282" s="147">
        <f>I283+I285+I287+I289+I291+I293+I295+I297+I299+I301+I303+I305+I307</f>
        <v>331.31999999999994</v>
      </c>
      <c r="J282" s="147">
        <f>J283+J285+J287+J289+J291+J293+J295+J297+J299+J301+J303+J305+J307</f>
        <v>14975.713</v>
      </c>
      <c r="K282" s="147">
        <f>K283+K285+K287+K289+K291+K293+K295+K297+K299+K301+K303+K305+K307</f>
        <v>38277.26199999999</v>
      </c>
      <c r="L282" s="147">
        <f>L283+L285+L287+L289+L291+L293+L295+L297+L299+L301+L303+L305+L307</f>
        <v>0</v>
      </c>
      <c r="M282" s="146">
        <f>M283+M285+M287</f>
        <v>0</v>
      </c>
      <c r="N282" s="146">
        <f>N283+N285+N287</f>
        <v>0</v>
      </c>
      <c r="O282" s="146">
        <f>O283+O285+O287</f>
        <v>0</v>
      </c>
      <c r="P282" s="146">
        <f>P283+P285+P287</f>
        <v>0</v>
      </c>
      <c r="Q282" s="146">
        <f>Q283+Q285+Q287</f>
        <v>0</v>
      </c>
      <c r="R282" s="147">
        <f>R283+R285+R287+R289+R291+R293+R295+R297+R299+R301+R303+R305+R307</f>
        <v>53584.295000000006</v>
      </c>
      <c r="S282" s="147">
        <f>S283+S285+S287+S289+S291+S293+S295+S297+S299+S301+S303+S305+S307</f>
        <v>331.31999999999994</v>
      </c>
      <c r="T282" s="147">
        <f>T283+T285+T287+T289+T291+T293+T295+T297+T299+T301+T303+T305+T307</f>
        <v>14975.713</v>
      </c>
      <c r="U282" s="147">
        <f>U283+U285+U287+U289+U291+U293+U295+U297+U299+U301+U303+U305+U307</f>
        <v>38277.26199999999</v>
      </c>
      <c r="V282" s="147">
        <f>V283+V285+V287+V289+V291+V293+V295+V297+V299+V301+V303+V305+V307</f>
        <v>0</v>
      </c>
      <c r="W282" s="168"/>
      <c r="X282" s="168"/>
      <c r="Y282" s="168"/>
      <c r="Z282" s="168"/>
      <c r="AA282" s="168"/>
      <c r="AB282" s="168"/>
      <c r="AC282" s="168"/>
      <c r="AD282" s="147">
        <f>AD283+AD285+AD287+AD289+AD291+AD293+AD295+AD297+AD299+AD301+AD303+AD305+AD307</f>
        <v>4.9190000000000005</v>
      </c>
      <c r="AE282" s="149"/>
      <c r="AF282" s="149"/>
      <c r="AG282" s="149"/>
      <c r="AH282" s="149"/>
      <c r="AI282" s="326">
        <v>26.447</v>
      </c>
      <c r="AJ282" s="149"/>
    </row>
    <row r="283" spans="1:36" ht="12.75">
      <c r="A283" s="8">
        <v>1</v>
      </c>
      <c r="B283" s="13" t="s">
        <v>863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24">
        <f aca="true" t="shared" si="11" ref="H283:H308">SUM(I283:L283)</f>
        <v>3726.3999999999996</v>
      </c>
      <c r="I283" s="3">
        <v>36.651</v>
      </c>
      <c r="J283" s="3">
        <v>1656.735</v>
      </c>
      <c r="K283" s="3">
        <v>2033.014</v>
      </c>
      <c r="L283" s="3">
        <v>0</v>
      </c>
      <c r="M283" s="8"/>
      <c r="N283" s="8"/>
      <c r="O283" s="8"/>
      <c r="P283" s="8"/>
      <c r="Q283" s="8"/>
      <c r="R283" s="30">
        <f aca="true" t="shared" si="12" ref="R283:R308">SUM(S283:V283)</f>
        <v>3726.3999999999996</v>
      </c>
      <c r="S283" s="3">
        <v>36.651</v>
      </c>
      <c r="T283" s="3">
        <v>1656.735</v>
      </c>
      <c r="U283" s="3">
        <v>2033.014</v>
      </c>
      <c r="V283" s="3">
        <v>0</v>
      </c>
      <c r="W283" s="8"/>
      <c r="X283" s="8"/>
      <c r="Y283" s="8"/>
      <c r="Z283" s="8"/>
      <c r="AA283" s="8">
        <v>2011</v>
      </c>
      <c r="AB283" s="288">
        <v>25</v>
      </c>
      <c r="AC283" s="288" t="s">
        <v>969</v>
      </c>
      <c r="AD283" s="288">
        <v>0.306</v>
      </c>
      <c r="AE283" s="290">
        <v>2011</v>
      </c>
      <c r="AF283" s="290">
        <v>30</v>
      </c>
      <c r="AG283" s="57"/>
      <c r="AH283" s="292" t="s">
        <v>970</v>
      </c>
      <c r="AI283" s="293" t="s">
        <v>971</v>
      </c>
      <c r="AJ283" s="10"/>
    </row>
    <row r="284" spans="1:36" ht="12.75">
      <c r="A284" s="8"/>
      <c r="B284" s="13" t="s">
        <v>483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23">
        <f t="shared" si="11"/>
        <v>3726.3999999999996</v>
      </c>
      <c r="I284" s="8">
        <v>36.651</v>
      </c>
      <c r="J284" s="8">
        <v>1656.735</v>
      </c>
      <c r="K284" s="8">
        <v>2033.014</v>
      </c>
      <c r="L284" s="8">
        <v>0</v>
      </c>
      <c r="M284" s="8"/>
      <c r="N284" s="8"/>
      <c r="O284" s="8"/>
      <c r="P284" s="8"/>
      <c r="Q284" s="8"/>
      <c r="R284" s="28">
        <f t="shared" si="12"/>
        <v>3726.3999999999996</v>
      </c>
      <c r="S284" s="8">
        <v>36.651</v>
      </c>
      <c r="T284" s="8">
        <v>1656.735</v>
      </c>
      <c r="U284" s="8">
        <v>2033.014</v>
      </c>
      <c r="V284" s="8">
        <v>0</v>
      </c>
      <c r="W284" s="8"/>
      <c r="X284" s="8"/>
      <c r="Y284" s="8"/>
      <c r="Z284" s="8"/>
      <c r="AA284" s="8"/>
      <c r="AB284" s="288"/>
      <c r="AC284" s="288"/>
      <c r="AD284" s="288"/>
      <c r="AE284" s="290"/>
      <c r="AF284" s="289"/>
      <c r="AG284" s="57"/>
      <c r="AH284" s="57"/>
      <c r="AI284" s="77"/>
      <c r="AJ284" s="10"/>
    </row>
    <row r="285" spans="1:36" ht="12.75">
      <c r="A285" s="8">
        <v>2</v>
      </c>
      <c r="B285" s="13" t="s">
        <v>869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24">
        <f t="shared" si="11"/>
        <v>3729.345</v>
      </c>
      <c r="I285" s="3">
        <v>3.5949999999999998</v>
      </c>
      <c r="J285" s="3">
        <v>900.19</v>
      </c>
      <c r="K285" s="3">
        <v>2825.56</v>
      </c>
      <c r="L285" s="3">
        <v>0</v>
      </c>
      <c r="M285" s="8"/>
      <c r="N285" s="8"/>
      <c r="O285" s="8"/>
      <c r="P285" s="8"/>
      <c r="Q285" s="8"/>
      <c r="R285" s="24">
        <f t="shared" si="12"/>
        <v>3729.345</v>
      </c>
      <c r="S285" s="3">
        <v>3.5949999999999998</v>
      </c>
      <c r="T285" s="3">
        <v>900.19</v>
      </c>
      <c r="U285" s="3">
        <v>2825.56</v>
      </c>
      <c r="V285" s="3">
        <v>0</v>
      </c>
      <c r="W285" s="8"/>
      <c r="X285" s="8"/>
      <c r="Y285" s="8"/>
      <c r="Z285" s="8"/>
      <c r="AA285" s="8">
        <v>2011</v>
      </c>
      <c r="AB285" s="288">
        <v>25</v>
      </c>
      <c r="AC285" s="288" t="s">
        <v>331</v>
      </c>
      <c r="AD285" s="288">
        <v>0.38</v>
      </c>
      <c r="AE285" s="290">
        <v>2011</v>
      </c>
      <c r="AF285" s="290">
        <v>30</v>
      </c>
      <c r="AG285" s="57"/>
      <c r="AH285" s="292" t="s">
        <v>970</v>
      </c>
      <c r="AI285" s="293" t="s">
        <v>972</v>
      </c>
      <c r="AJ285" s="10"/>
    </row>
    <row r="286" spans="1:36" ht="12.75">
      <c r="A286" s="8"/>
      <c r="B286" s="13" t="s">
        <v>483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23">
        <f t="shared" si="11"/>
        <v>3729.345</v>
      </c>
      <c r="I286" s="8">
        <v>3.5949999999999998</v>
      </c>
      <c r="J286" s="8">
        <v>900.19</v>
      </c>
      <c r="K286" s="8">
        <v>2825.56</v>
      </c>
      <c r="L286" s="8">
        <v>0</v>
      </c>
      <c r="M286" s="8"/>
      <c r="N286" s="8"/>
      <c r="O286" s="8"/>
      <c r="P286" s="8"/>
      <c r="Q286" s="8"/>
      <c r="R286" s="32">
        <f t="shared" si="12"/>
        <v>3729.345</v>
      </c>
      <c r="S286" s="8">
        <v>3.5949999999999998</v>
      </c>
      <c r="T286" s="8">
        <v>900.19</v>
      </c>
      <c r="U286" s="8">
        <v>2825.56</v>
      </c>
      <c r="V286" s="8">
        <v>0</v>
      </c>
      <c r="W286" s="8"/>
      <c r="X286" s="8"/>
      <c r="Y286" s="8"/>
      <c r="Z286" s="8"/>
      <c r="AA286" s="8"/>
      <c r="AB286" s="288"/>
      <c r="AC286" s="288"/>
      <c r="AD286" s="288"/>
      <c r="AE286" s="290"/>
      <c r="AF286" s="289"/>
      <c r="AG286" s="57"/>
      <c r="AH286" s="57"/>
      <c r="AI286" s="77"/>
      <c r="AJ286" s="10"/>
    </row>
    <row r="287" spans="1:36" ht="12.75">
      <c r="A287" s="8">
        <v>3</v>
      </c>
      <c r="B287" s="13" t="s">
        <v>872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24">
        <f t="shared" si="11"/>
        <v>9706.42</v>
      </c>
      <c r="I287" s="33">
        <v>63.49</v>
      </c>
      <c r="J287" s="3">
        <v>3500.23</v>
      </c>
      <c r="K287" s="33">
        <v>6142.7</v>
      </c>
      <c r="L287" s="33">
        <v>0</v>
      </c>
      <c r="M287" s="8"/>
      <c r="N287" s="8"/>
      <c r="O287" s="8"/>
      <c r="P287" s="8"/>
      <c r="Q287" s="8"/>
      <c r="R287" s="33">
        <f t="shared" si="12"/>
        <v>9706.42</v>
      </c>
      <c r="S287" s="33">
        <v>63.49</v>
      </c>
      <c r="T287" s="3">
        <v>3500.23</v>
      </c>
      <c r="U287" s="33">
        <v>6142.7</v>
      </c>
      <c r="V287" s="33">
        <v>0</v>
      </c>
      <c r="W287" s="8"/>
      <c r="X287" s="8"/>
      <c r="Y287" s="8"/>
      <c r="Z287" s="8"/>
      <c r="AA287" s="8">
        <v>2011</v>
      </c>
      <c r="AB287" s="288">
        <v>25</v>
      </c>
      <c r="AC287" s="288" t="s">
        <v>973</v>
      </c>
      <c r="AD287" s="288">
        <v>0.297</v>
      </c>
      <c r="AE287" s="290">
        <v>2011</v>
      </c>
      <c r="AF287" s="290">
        <v>30</v>
      </c>
      <c r="AG287" s="57"/>
      <c r="AH287" s="292" t="s">
        <v>970</v>
      </c>
      <c r="AI287" s="327" t="s">
        <v>974</v>
      </c>
      <c r="AJ287" s="10"/>
    </row>
    <row r="288" spans="1:36" ht="12.75">
      <c r="A288" s="8"/>
      <c r="B288" s="13" t="s">
        <v>483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23">
        <f t="shared" si="11"/>
        <v>9706.42</v>
      </c>
      <c r="I288" s="8">
        <v>63.49</v>
      </c>
      <c r="J288" s="8">
        <v>3500.23</v>
      </c>
      <c r="K288" s="32">
        <v>6142.7</v>
      </c>
      <c r="L288" s="8">
        <v>0</v>
      </c>
      <c r="M288" s="8"/>
      <c r="N288" s="8"/>
      <c r="O288" s="8"/>
      <c r="P288" s="8"/>
      <c r="Q288" s="8"/>
      <c r="R288" s="32">
        <f t="shared" si="12"/>
        <v>9706.42</v>
      </c>
      <c r="S288" s="8">
        <v>63.49</v>
      </c>
      <c r="T288" s="8">
        <v>3500.23</v>
      </c>
      <c r="U288" s="32">
        <v>6142.7</v>
      </c>
      <c r="V288" s="8">
        <v>0</v>
      </c>
      <c r="W288" s="8"/>
      <c r="X288" s="8"/>
      <c r="Y288" s="8"/>
      <c r="Z288" s="8"/>
      <c r="AA288" s="8"/>
      <c r="AB288" s="288"/>
      <c r="AC288" s="288"/>
      <c r="AD288" s="288"/>
      <c r="AE288" s="290"/>
      <c r="AF288" s="289"/>
      <c r="AG288" s="57"/>
      <c r="AH288" s="57"/>
      <c r="AI288" s="77"/>
      <c r="AJ288" s="10"/>
    </row>
    <row r="289" spans="1:36" ht="12.75">
      <c r="A289" s="8">
        <v>4</v>
      </c>
      <c r="B289" s="13" t="s">
        <v>975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24">
        <f t="shared" si="11"/>
        <v>637.56</v>
      </c>
      <c r="I289" s="3">
        <v>2.755</v>
      </c>
      <c r="J289" s="3">
        <v>177.465</v>
      </c>
      <c r="K289" s="3">
        <v>457.34</v>
      </c>
      <c r="L289" s="3">
        <v>0</v>
      </c>
      <c r="M289" s="8"/>
      <c r="N289" s="8"/>
      <c r="O289" s="8"/>
      <c r="P289" s="8"/>
      <c r="Q289" s="8"/>
      <c r="R289" s="33">
        <f t="shared" si="12"/>
        <v>637.56</v>
      </c>
      <c r="S289" s="3">
        <v>2.755</v>
      </c>
      <c r="T289" s="3">
        <v>177.465</v>
      </c>
      <c r="U289" s="3">
        <v>457.34</v>
      </c>
      <c r="V289" s="3">
        <v>0</v>
      </c>
      <c r="W289" s="8"/>
      <c r="X289" s="8"/>
      <c r="Y289" s="8"/>
      <c r="Z289" s="8"/>
      <c r="AA289" s="8"/>
      <c r="AB289" s="288"/>
      <c r="AC289" s="288"/>
      <c r="AD289" s="288">
        <v>0.219</v>
      </c>
      <c r="AE289" s="290">
        <v>2011</v>
      </c>
      <c r="AF289" s="290">
        <v>30</v>
      </c>
      <c r="AG289" s="289"/>
      <c r="AH289" s="289" t="s">
        <v>59</v>
      </c>
      <c r="AI289" s="328">
        <v>0.64</v>
      </c>
      <c r="AJ289" s="10"/>
    </row>
    <row r="290" spans="1:36" ht="12.75">
      <c r="A290" s="11"/>
      <c r="B290" s="13" t="s">
        <v>483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23">
        <f t="shared" si="11"/>
        <v>637.56</v>
      </c>
      <c r="I290" s="8">
        <v>2.755</v>
      </c>
      <c r="J290" s="8">
        <v>177.465</v>
      </c>
      <c r="K290" s="8">
        <v>457.34</v>
      </c>
      <c r="L290" s="8">
        <v>0</v>
      </c>
      <c r="M290" s="8"/>
      <c r="N290" s="8"/>
      <c r="O290" s="8"/>
      <c r="P290" s="8"/>
      <c r="Q290" s="8"/>
      <c r="R290" s="32">
        <f t="shared" si="12"/>
        <v>637.56</v>
      </c>
      <c r="S290" s="8">
        <v>2.755</v>
      </c>
      <c r="T290" s="8">
        <v>177.465</v>
      </c>
      <c r="U290" s="8">
        <v>457.34</v>
      </c>
      <c r="V290" s="8">
        <v>0</v>
      </c>
      <c r="W290" s="8"/>
      <c r="X290" s="8"/>
      <c r="Y290" s="8"/>
      <c r="Z290" s="8"/>
      <c r="AA290" s="8"/>
      <c r="AB290" s="8"/>
      <c r="AC290" s="8"/>
      <c r="AD290" s="8"/>
      <c r="AE290" s="329"/>
      <c r="AF290" s="329"/>
      <c r="AG290" s="10"/>
      <c r="AH290" s="10"/>
      <c r="AI290" s="84"/>
      <c r="AJ290" s="10"/>
    </row>
    <row r="291" spans="1:36" ht="12.75">
      <c r="A291" s="8">
        <v>5</v>
      </c>
      <c r="B291" s="13" t="s">
        <v>874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24">
        <f t="shared" si="11"/>
        <v>7960.22</v>
      </c>
      <c r="I291" s="3">
        <v>34.56</v>
      </c>
      <c r="J291" s="3">
        <v>1781.5</v>
      </c>
      <c r="K291" s="3">
        <v>6144.16</v>
      </c>
      <c r="L291" s="3">
        <v>0</v>
      </c>
      <c r="M291" s="8"/>
      <c r="N291" s="8"/>
      <c r="O291" s="8"/>
      <c r="P291" s="8"/>
      <c r="Q291" s="8"/>
      <c r="R291" s="33">
        <f t="shared" si="12"/>
        <v>7960.22</v>
      </c>
      <c r="S291" s="3">
        <v>34.56</v>
      </c>
      <c r="T291" s="3">
        <v>1781.5</v>
      </c>
      <c r="U291" s="3">
        <v>6144.16</v>
      </c>
      <c r="V291" s="3">
        <v>0</v>
      </c>
      <c r="W291" s="8"/>
      <c r="X291" s="8"/>
      <c r="Y291" s="8"/>
      <c r="Z291" s="8"/>
      <c r="AA291" s="8">
        <v>2011</v>
      </c>
      <c r="AB291" s="288">
        <v>25</v>
      </c>
      <c r="AC291" s="288" t="s">
        <v>976</v>
      </c>
      <c r="AD291" s="288">
        <v>0.738</v>
      </c>
      <c r="AE291" s="290">
        <v>2011</v>
      </c>
      <c r="AF291" s="290">
        <v>30</v>
      </c>
      <c r="AG291" s="57"/>
      <c r="AH291" s="292" t="s">
        <v>977</v>
      </c>
      <c r="AI291" s="293" t="s">
        <v>978</v>
      </c>
      <c r="AJ291" s="10"/>
    </row>
    <row r="292" spans="1:36" ht="12.75">
      <c r="A292" s="11"/>
      <c r="B292" s="13" t="s">
        <v>483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23">
        <f t="shared" si="11"/>
        <v>7960.22</v>
      </c>
      <c r="I292" s="8">
        <v>34.56</v>
      </c>
      <c r="J292" s="8">
        <v>1781.5</v>
      </c>
      <c r="K292" s="8">
        <v>6144.16</v>
      </c>
      <c r="L292" s="8">
        <v>0</v>
      </c>
      <c r="M292" s="8"/>
      <c r="N292" s="8"/>
      <c r="O292" s="8"/>
      <c r="P292" s="8"/>
      <c r="Q292" s="8"/>
      <c r="R292" s="32">
        <f t="shared" si="12"/>
        <v>7960.22</v>
      </c>
      <c r="S292" s="8">
        <v>34.56</v>
      </c>
      <c r="T292" s="8">
        <v>1781.5</v>
      </c>
      <c r="U292" s="8">
        <v>6144.16</v>
      </c>
      <c r="V292" s="8">
        <v>0</v>
      </c>
      <c r="W292" s="8"/>
      <c r="X292" s="8"/>
      <c r="Y292" s="8"/>
      <c r="Z292" s="8"/>
      <c r="AA292" s="8"/>
      <c r="AB292" s="288"/>
      <c r="AC292" s="288"/>
      <c r="AD292" s="288"/>
      <c r="AE292" s="289"/>
      <c r="AF292" s="289"/>
      <c r="AG292" s="57"/>
      <c r="AH292" s="57"/>
      <c r="AI292" s="77"/>
      <c r="AJ292" s="10"/>
    </row>
    <row r="293" spans="1:36" ht="12.75">
      <c r="A293" s="8">
        <v>6</v>
      </c>
      <c r="B293" s="13" t="s">
        <v>876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24">
        <f t="shared" si="11"/>
        <v>6793.170000000001</v>
      </c>
      <c r="I293" s="3">
        <v>105.712</v>
      </c>
      <c r="J293" s="3">
        <v>2560.572</v>
      </c>
      <c r="K293" s="3">
        <v>4126.886</v>
      </c>
      <c r="L293" s="3">
        <v>0</v>
      </c>
      <c r="M293" s="8"/>
      <c r="N293" s="8"/>
      <c r="O293" s="8"/>
      <c r="P293" s="8"/>
      <c r="Q293" s="8"/>
      <c r="R293" s="33">
        <f t="shared" si="12"/>
        <v>6793.170000000001</v>
      </c>
      <c r="S293" s="3">
        <v>105.712</v>
      </c>
      <c r="T293" s="3">
        <v>2560.572</v>
      </c>
      <c r="U293" s="3">
        <v>4126.886</v>
      </c>
      <c r="V293" s="3">
        <v>0</v>
      </c>
      <c r="W293" s="8"/>
      <c r="X293" s="8"/>
      <c r="Y293" s="8"/>
      <c r="Z293" s="8"/>
      <c r="AA293" s="8">
        <v>2011</v>
      </c>
      <c r="AB293" s="288">
        <v>25</v>
      </c>
      <c r="AC293" s="288" t="s">
        <v>331</v>
      </c>
      <c r="AD293" s="288">
        <v>0.635</v>
      </c>
      <c r="AE293" s="290">
        <v>2011</v>
      </c>
      <c r="AF293" s="290">
        <v>30</v>
      </c>
      <c r="AG293" s="57"/>
      <c r="AH293" s="292" t="s">
        <v>977</v>
      </c>
      <c r="AI293" s="293" t="s">
        <v>979</v>
      </c>
      <c r="AJ293" s="10"/>
    </row>
    <row r="294" spans="1:36" ht="12.75">
      <c r="A294" s="11"/>
      <c r="B294" s="13" t="s">
        <v>483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23">
        <f t="shared" si="11"/>
        <v>6793.170000000001</v>
      </c>
      <c r="I294" s="8">
        <v>105.712</v>
      </c>
      <c r="J294" s="8">
        <v>2560.572</v>
      </c>
      <c r="K294" s="8">
        <v>4126.886</v>
      </c>
      <c r="L294" s="8">
        <v>0</v>
      </c>
      <c r="M294" s="8"/>
      <c r="N294" s="8"/>
      <c r="O294" s="8"/>
      <c r="P294" s="8"/>
      <c r="Q294" s="8"/>
      <c r="R294" s="32">
        <f t="shared" si="12"/>
        <v>6793.170000000001</v>
      </c>
      <c r="S294" s="8">
        <v>105.712</v>
      </c>
      <c r="T294" s="8">
        <v>2560.572</v>
      </c>
      <c r="U294" s="8">
        <v>4126.886</v>
      </c>
      <c r="V294" s="8">
        <v>0</v>
      </c>
      <c r="W294" s="8"/>
      <c r="X294" s="8"/>
      <c r="Y294" s="8"/>
      <c r="Z294" s="8"/>
      <c r="AA294" s="8"/>
      <c r="AB294" s="8"/>
      <c r="AC294" s="8"/>
      <c r="AD294" s="8"/>
      <c r="AE294" s="329"/>
      <c r="AF294" s="329"/>
      <c r="AG294" s="10"/>
      <c r="AH294" s="10"/>
      <c r="AI294" s="84"/>
      <c r="AJ294" s="10"/>
    </row>
    <row r="295" spans="1:36" ht="12.75">
      <c r="A295" s="8">
        <v>7</v>
      </c>
      <c r="B295" s="13" t="s">
        <v>878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24">
        <f t="shared" si="11"/>
        <v>527.149</v>
      </c>
      <c r="I295" s="3">
        <v>2.273</v>
      </c>
      <c r="J295" s="3">
        <v>161.198</v>
      </c>
      <c r="K295" s="3">
        <v>363.678</v>
      </c>
      <c r="L295" s="3">
        <v>0</v>
      </c>
      <c r="M295" s="8"/>
      <c r="N295" s="8"/>
      <c r="O295" s="8"/>
      <c r="P295" s="8"/>
      <c r="Q295" s="8"/>
      <c r="R295" s="24">
        <f t="shared" si="12"/>
        <v>527.149</v>
      </c>
      <c r="S295" s="3">
        <v>2.273</v>
      </c>
      <c r="T295" s="3">
        <v>161.198</v>
      </c>
      <c r="U295" s="3">
        <v>363.678</v>
      </c>
      <c r="V295" s="3">
        <v>0</v>
      </c>
      <c r="W295" s="8"/>
      <c r="X295" s="8"/>
      <c r="Y295" s="8"/>
      <c r="Z295" s="8"/>
      <c r="AA295" s="8"/>
      <c r="AB295" s="8"/>
      <c r="AC295" s="8"/>
      <c r="AD295" s="8">
        <v>0.581</v>
      </c>
      <c r="AE295" s="43">
        <v>2011</v>
      </c>
      <c r="AF295" s="43">
        <v>30</v>
      </c>
      <c r="AG295" s="10"/>
      <c r="AH295" s="10" t="s">
        <v>59</v>
      </c>
      <c r="AI295" s="330">
        <v>0.42</v>
      </c>
      <c r="AJ295" s="10"/>
    </row>
    <row r="296" spans="1:36" ht="12.75">
      <c r="A296" s="11"/>
      <c r="B296" s="13" t="s">
        <v>483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23">
        <f t="shared" si="11"/>
        <v>527.149</v>
      </c>
      <c r="I296" s="8">
        <v>2.273</v>
      </c>
      <c r="J296" s="8">
        <v>161.198</v>
      </c>
      <c r="K296" s="8">
        <v>363.678</v>
      </c>
      <c r="L296" s="8">
        <v>0</v>
      </c>
      <c r="M296" s="8"/>
      <c r="N296" s="8"/>
      <c r="O296" s="8"/>
      <c r="P296" s="8"/>
      <c r="Q296" s="8"/>
      <c r="R296" s="23">
        <f t="shared" si="12"/>
        <v>527.149</v>
      </c>
      <c r="S296" s="8">
        <v>2.273</v>
      </c>
      <c r="T296" s="8">
        <v>161.198</v>
      </c>
      <c r="U296" s="8">
        <v>363.678</v>
      </c>
      <c r="V296" s="8">
        <v>0</v>
      </c>
      <c r="W296" s="8"/>
      <c r="X296" s="8"/>
      <c r="Y296" s="8"/>
      <c r="Z296" s="8"/>
      <c r="AA296" s="8"/>
      <c r="AB296" s="8"/>
      <c r="AC296" s="8"/>
      <c r="AD296" s="8"/>
      <c r="AE296" s="329"/>
      <c r="AF296" s="329"/>
      <c r="AG296" s="10"/>
      <c r="AH296" s="10"/>
      <c r="AI296" s="84"/>
      <c r="AJ296" s="10"/>
    </row>
    <row r="297" spans="1:36" ht="12.75">
      <c r="A297" s="8">
        <v>8</v>
      </c>
      <c r="B297" s="13" t="s">
        <v>880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24">
        <f t="shared" si="11"/>
        <v>3753.14</v>
      </c>
      <c r="I297" s="3">
        <v>36.033</v>
      </c>
      <c r="J297" s="3">
        <v>419.903</v>
      </c>
      <c r="K297" s="3">
        <v>3297.204</v>
      </c>
      <c r="L297" s="3">
        <v>0</v>
      </c>
      <c r="M297" s="8"/>
      <c r="N297" s="8"/>
      <c r="O297" s="8"/>
      <c r="P297" s="8"/>
      <c r="Q297" s="8"/>
      <c r="R297" s="33">
        <f t="shared" si="12"/>
        <v>3753.14</v>
      </c>
      <c r="S297" s="3">
        <v>36.033</v>
      </c>
      <c r="T297" s="3">
        <v>419.903</v>
      </c>
      <c r="U297" s="3">
        <v>3297.204</v>
      </c>
      <c r="V297" s="3">
        <v>0</v>
      </c>
      <c r="W297" s="8"/>
      <c r="X297" s="8"/>
      <c r="Y297" s="8"/>
      <c r="Z297" s="8"/>
      <c r="AA297" s="8">
        <v>2011</v>
      </c>
      <c r="AB297" s="8">
        <v>25</v>
      </c>
      <c r="AC297" s="8" t="s">
        <v>331</v>
      </c>
      <c r="AD297" s="8">
        <v>0.5670000000000001</v>
      </c>
      <c r="AE297" s="43">
        <v>2011</v>
      </c>
      <c r="AF297" s="43">
        <v>30</v>
      </c>
      <c r="AG297" s="10"/>
      <c r="AH297" s="329" t="s">
        <v>980</v>
      </c>
      <c r="AI297" s="43">
        <v>0.324</v>
      </c>
      <c r="AJ297" s="10"/>
    </row>
    <row r="298" spans="1:36" ht="12.75">
      <c r="A298" s="11"/>
      <c r="B298" s="13" t="s">
        <v>483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23">
        <f t="shared" si="11"/>
        <v>3753.14</v>
      </c>
      <c r="I298" s="8">
        <v>36.033</v>
      </c>
      <c r="J298" s="8">
        <v>419.903</v>
      </c>
      <c r="K298" s="8">
        <v>3297.204</v>
      </c>
      <c r="L298" s="8">
        <v>0</v>
      </c>
      <c r="M298" s="8"/>
      <c r="N298" s="8"/>
      <c r="O298" s="8"/>
      <c r="P298" s="8"/>
      <c r="Q298" s="8"/>
      <c r="R298" s="32">
        <f t="shared" si="12"/>
        <v>3753.14</v>
      </c>
      <c r="S298" s="8">
        <v>36.033</v>
      </c>
      <c r="T298" s="8">
        <v>419.903</v>
      </c>
      <c r="U298" s="8">
        <v>3297.204</v>
      </c>
      <c r="V298" s="8">
        <v>0</v>
      </c>
      <c r="W298" s="8"/>
      <c r="X298" s="8"/>
      <c r="Y298" s="8"/>
      <c r="Z298" s="8"/>
      <c r="AA298" s="8"/>
      <c r="AB298" s="8"/>
      <c r="AC298" s="8"/>
      <c r="AD298" s="8"/>
      <c r="AE298" s="43"/>
      <c r="AF298" s="43"/>
      <c r="AG298" s="10"/>
      <c r="AH298" s="329"/>
      <c r="AI298" s="43"/>
      <c r="AJ298" s="10"/>
    </row>
    <row r="299" spans="1:36" ht="12.75">
      <c r="A299" s="8">
        <v>9</v>
      </c>
      <c r="B299" s="13" t="s">
        <v>882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24">
        <f t="shared" si="11"/>
        <v>4116.518000000001</v>
      </c>
      <c r="I299" s="3">
        <v>10.328</v>
      </c>
      <c r="J299" s="3">
        <v>967.788</v>
      </c>
      <c r="K299" s="3">
        <v>3138.402</v>
      </c>
      <c r="L299" s="3">
        <v>0</v>
      </c>
      <c r="M299" s="8"/>
      <c r="N299" s="8"/>
      <c r="O299" s="8"/>
      <c r="P299" s="8"/>
      <c r="Q299" s="8"/>
      <c r="R299" s="24">
        <f t="shared" si="12"/>
        <v>4116.518000000001</v>
      </c>
      <c r="S299" s="3">
        <v>10.328</v>
      </c>
      <c r="T299" s="3">
        <v>967.788</v>
      </c>
      <c r="U299" s="3">
        <v>3138.402</v>
      </c>
      <c r="V299" s="3">
        <v>0</v>
      </c>
      <c r="W299" s="8"/>
      <c r="X299" s="8"/>
      <c r="Y299" s="8"/>
      <c r="Z299" s="8"/>
      <c r="AA299" s="8">
        <v>2011</v>
      </c>
      <c r="AB299" s="8">
        <v>25</v>
      </c>
      <c r="AC299" s="8" t="s">
        <v>331</v>
      </c>
      <c r="AD299" s="8">
        <v>0.218</v>
      </c>
      <c r="AE299" s="43">
        <v>2011</v>
      </c>
      <c r="AF299" s="43">
        <v>30</v>
      </c>
      <c r="AG299" s="10"/>
      <c r="AH299" s="284" t="s">
        <v>981</v>
      </c>
      <c r="AI299" s="8" t="s">
        <v>982</v>
      </c>
      <c r="AJ299" s="10"/>
    </row>
    <row r="300" spans="1:36" ht="12.75">
      <c r="A300" s="11"/>
      <c r="B300" s="13" t="s">
        <v>483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23">
        <f t="shared" si="11"/>
        <v>4116.518000000001</v>
      </c>
      <c r="I300" s="8">
        <v>10.328</v>
      </c>
      <c r="J300" s="8">
        <v>967.788</v>
      </c>
      <c r="K300" s="8">
        <v>3138.402</v>
      </c>
      <c r="L300" s="8">
        <v>0</v>
      </c>
      <c r="M300" s="8"/>
      <c r="N300" s="8"/>
      <c r="O300" s="8"/>
      <c r="P300" s="8"/>
      <c r="Q300" s="8"/>
      <c r="R300" s="23">
        <f t="shared" si="12"/>
        <v>4116.518000000001</v>
      </c>
      <c r="S300" s="8">
        <v>10.328</v>
      </c>
      <c r="T300" s="8">
        <v>967.788</v>
      </c>
      <c r="U300" s="8">
        <v>3138.402</v>
      </c>
      <c r="V300" s="8">
        <v>0</v>
      </c>
      <c r="W300" s="8"/>
      <c r="X300" s="8"/>
      <c r="Y300" s="8"/>
      <c r="Z300" s="8"/>
      <c r="AA300" s="8"/>
      <c r="AB300" s="8"/>
      <c r="AC300" s="8"/>
      <c r="AD300" s="8"/>
      <c r="AE300" s="84"/>
      <c r="AF300" s="84"/>
      <c r="AG300" s="10"/>
      <c r="AH300" s="329"/>
      <c r="AI300" s="43"/>
      <c r="AJ300" s="10"/>
    </row>
    <row r="301" spans="1:36" ht="12.75">
      <c r="A301" s="8">
        <v>10</v>
      </c>
      <c r="B301" s="13" t="s">
        <v>884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24">
        <f t="shared" si="11"/>
        <v>1033.682</v>
      </c>
      <c r="I301" s="3">
        <v>1.3</v>
      </c>
      <c r="J301" s="3">
        <v>529.818</v>
      </c>
      <c r="K301" s="3">
        <v>502.564</v>
      </c>
      <c r="L301" s="3">
        <v>0</v>
      </c>
      <c r="M301" s="8"/>
      <c r="N301" s="8"/>
      <c r="O301" s="8"/>
      <c r="P301" s="8"/>
      <c r="Q301" s="8"/>
      <c r="R301" s="24">
        <f t="shared" si="12"/>
        <v>1033.682</v>
      </c>
      <c r="S301" s="3">
        <v>1.3</v>
      </c>
      <c r="T301" s="3">
        <v>529.818</v>
      </c>
      <c r="U301" s="3">
        <v>502.564</v>
      </c>
      <c r="V301" s="3">
        <v>0</v>
      </c>
      <c r="W301" s="8"/>
      <c r="X301" s="8"/>
      <c r="Y301" s="8"/>
      <c r="Z301" s="8"/>
      <c r="AA301" s="8"/>
      <c r="AB301" s="8"/>
      <c r="AC301" s="8"/>
      <c r="AD301" s="8">
        <v>0.276</v>
      </c>
      <c r="AE301" s="43">
        <v>2011</v>
      </c>
      <c r="AF301" s="43">
        <v>30</v>
      </c>
      <c r="AG301" s="329"/>
      <c r="AH301" s="329" t="s">
        <v>983</v>
      </c>
      <c r="AI301" s="43">
        <v>2.13</v>
      </c>
      <c r="AJ301" s="10"/>
    </row>
    <row r="302" spans="1:36" ht="12.75">
      <c r="A302" s="11"/>
      <c r="B302" s="13" t="s">
        <v>483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23">
        <f t="shared" si="11"/>
        <v>1033.682</v>
      </c>
      <c r="I302" s="8">
        <v>1.3</v>
      </c>
      <c r="J302" s="8">
        <v>529.818</v>
      </c>
      <c r="K302" s="8">
        <v>502.564</v>
      </c>
      <c r="L302" s="8">
        <v>0</v>
      </c>
      <c r="M302" s="8"/>
      <c r="N302" s="8"/>
      <c r="O302" s="8"/>
      <c r="P302" s="8"/>
      <c r="Q302" s="8"/>
      <c r="R302" s="23">
        <f t="shared" si="12"/>
        <v>1033.682</v>
      </c>
      <c r="S302" s="8">
        <v>1.3</v>
      </c>
      <c r="T302" s="8">
        <v>529.818</v>
      </c>
      <c r="U302" s="8">
        <v>502.564</v>
      </c>
      <c r="V302" s="8">
        <v>0</v>
      </c>
      <c r="W302" s="8"/>
      <c r="X302" s="8"/>
      <c r="Y302" s="8"/>
      <c r="Z302" s="8"/>
      <c r="AA302" s="8"/>
      <c r="AB302" s="8"/>
      <c r="AC302" s="8"/>
      <c r="AD302" s="8"/>
      <c r="AE302" s="84"/>
      <c r="AF302" s="84"/>
      <c r="AG302" s="10"/>
      <c r="AH302" s="329"/>
      <c r="AI302" s="43"/>
      <c r="AJ302" s="10"/>
    </row>
    <row r="303" spans="1:36" ht="12.75">
      <c r="A303" s="8">
        <v>11</v>
      </c>
      <c r="B303" s="331" t="s">
        <v>886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24">
        <f t="shared" si="11"/>
        <v>5330.72</v>
      </c>
      <c r="I303" s="3">
        <v>18.741</v>
      </c>
      <c r="J303" s="3">
        <v>992.684</v>
      </c>
      <c r="K303" s="3">
        <v>4319.295</v>
      </c>
      <c r="L303" s="8">
        <v>0</v>
      </c>
      <c r="M303" s="8"/>
      <c r="N303" s="8"/>
      <c r="O303" s="8"/>
      <c r="P303" s="8"/>
      <c r="Q303" s="8"/>
      <c r="R303" s="33">
        <f t="shared" si="12"/>
        <v>5330.72</v>
      </c>
      <c r="S303" s="3">
        <v>18.741</v>
      </c>
      <c r="T303" s="3">
        <v>992.684</v>
      </c>
      <c r="U303" s="3">
        <v>4319.295</v>
      </c>
      <c r="V303" s="8">
        <v>0</v>
      </c>
      <c r="W303" s="8"/>
      <c r="X303" s="8"/>
      <c r="Y303" s="8"/>
      <c r="Z303" s="8"/>
      <c r="AA303" s="8">
        <v>2011</v>
      </c>
      <c r="AB303" s="8">
        <v>25</v>
      </c>
      <c r="AC303" s="8" t="s">
        <v>331</v>
      </c>
      <c r="AD303" s="8">
        <v>0.232</v>
      </c>
      <c r="AE303" s="43">
        <v>2011</v>
      </c>
      <c r="AF303" s="43">
        <v>30</v>
      </c>
      <c r="AG303" s="10"/>
      <c r="AH303" s="284" t="s">
        <v>981</v>
      </c>
      <c r="AI303" s="8" t="s">
        <v>984</v>
      </c>
      <c r="AJ303" s="10"/>
    </row>
    <row r="304" spans="1:36" ht="12.75">
      <c r="A304" s="11"/>
      <c r="B304" s="13" t="s">
        <v>483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23">
        <f t="shared" si="11"/>
        <v>5330.72</v>
      </c>
      <c r="I304" s="8">
        <v>18.741</v>
      </c>
      <c r="J304" s="8">
        <v>992.684</v>
      </c>
      <c r="K304" s="8">
        <v>4319.295</v>
      </c>
      <c r="L304" s="8">
        <v>0</v>
      </c>
      <c r="M304" s="8"/>
      <c r="N304" s="8"/>
      <c r="O304" s="8"/>
      <c r="P304" s="8"/>
      <c r="Q304" s="8"/>
      <c r="R304" s="32">
        <f t="shared" si="12"/>
        <v>5330.72</v>
      </c>
      <c r="S304" s="8">
        <v>18.741</v>
      </c>
      <c r="T304" s="8">
        <v>992.684</v>
      </c>
      <c r="U304" s="8">
        <v>4319.295</v>
      </c>
      <c r="V304" s="8">
        <v>0</v>
      </c>
      <c r="W304" s="8"/>
      <c r="X304" s="8"/>
      <c r="Y304" s="8"/>
      <c r="Z304" s="8"/>
      <c r="AA304" s="8"/>
      <c r="AB304" s="8"/>
      <c r="AC304" s="8"/>
      <c r="AD304" s="8"/>
      <c r="AE304" s="43"/>
      <c r="AF304" s="43"/>
      <c r="AG304" s="10"/>
      <c r="AH304" s="329"/>
      <c r="AI304" s="43"/>
      <c r="AJ304" s="10"/>
    </row>
    <row r="305" spans="1:36" ht="12.75">
      <c r="A305" s="8">
        <v>12</v>
      </c>
      <c r="B305" s="331" t="s">
        <v>888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24">
        <f t="shared" si="11"/>
        <v>6130.986</v>
      </c>
      <c r="I305" s="3">
        <v>15.882</v>
      </c>
      <c r="J305" s="3">
        <v>1305.97</v>
      </c>
      <c r="K305" s="3">
        <v>4809.134</v>
      </c>
      <c r="L305" s="8">
        <v>0</v>
      </c>
      <c r="M305" s="8"/>
      <c r="N305" s="8"/>
      <c r="O305" s="8"/>
      <c r="P305" s="8"/>
      <c r="Q305" s="8"/>
      <c r="R305" s="24">
        <f t="shared" si="12"/>
        <v>6130.986</v>
      </c>
      <c r="S305" s="3">
        <v>15.882</v>
      </c>
      <c r="T305" s="3">
        <v>1305.97</v>
      </c>
      <c r="U305" s="3">
        <v>4809.134</v>
      </c>
      <c r="V305" s="8">
        <v>0</v>
      </c>
      <c r="W305" s="8"/>
      <c r="X305" s="8"/>
      <c r="Y305" s="8"/>
      <c r="Z305" s="8"/>
      <c r="AA305" s="8">
        <v>2011</v>
      </c>
      <c r="AB305" s="8">
        <v>25</v>
      </c>
      <c r="AC305" s="8" t="s">
        <v>985</v>
      </c>
      <c r="AD305" s="8">
        <v>0.335</v>
      </c>
      <c r="AE305" s="43">
        <v>2011</v>
      </c>
      <c r="AF305" s="43">
        <v>30</v>
      </c>
      <c r="AG305" s="10"/>
      <c r="AH305" s="284" t="s">
        <v>981</v>
      </c>
      <c r="AI305" s="8" t="s">
        <v>986</v>
      </c>
      <c r="AJ305" s="10"/>
    </row>
    <row r="306" spans="1:36" ht="12.75">
      <c r="A306" s="11"/>
      <c r="B306" s="13" t="s">
        <v>483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23">
        <f t="shared" si="11"/>
        <v>6130.986</v>
      </c>
      <c r="I306" s="8">
        <v>15.882</v>
      </c>
      <c r="J306" s="8">
        <v>1305.97</v>
      </c>
      <c r="K306" s="8">
        <v>4809.134</v>
      </c>
      <c r="L306" s="8">
        <v>0</v>
      </c>
      <c r="M306" s="8"/>
      <c r="N306" s="8"/>
      <c r="O306" s="8"/>
      <c r="P306" s="8"/>
      <c r="Q306" s="8"/>
      <c r="R306" s="23">
        <f t="shared" si="12"/>
        <v>6130.986</v>
      </c>
      <c r="S306" s="8">
        <v>15.882</v>
      </c>
      <c r="T306" s="8">
        <v>1305.97</v>
      </c>
      <c r="U306" s="8">
        <v>4809.134</v>
      </c>
      <c r="V306" s="8">
        <v>0</v>
      </c>
      <c r="W306" s="8"/>
      <c r="X306" s="8"/>
      <c r="Y306" s="8"/>
      <c r="Z306" s="8"/>
      <c r="AA306" s="8"/>
      <c r="AB306" s="8"/>
      <c r="AC306" s="8"/>
      <c r="AD306" s="8"/>
      <c r="AE306" s="10"/>
      <c r="AF306" s="10"/>
      <c r="AG306" s="10"/>
      <c r="AH306" s="329"/>
      <c r="AI306" s="43"/>
      <c r="AJ306" s="10"/>
    </row>
    <row r="307" spans="1:36" ht="12.75">
      <c r="A307" s="8">
        <v>13</v>
      </c>
      <c r="B307" s="331" t="s">
        <v>890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24">
        <f t="shared" si="11"/>
        <v>138.985</v>
      </c>
      <c r="I307" s="3">
        <v>0</v>
      </c>
      <c r="J307" s="3">
        <v>21.66</v>
      </c>
      <c r="K307" s="3">
        <v>117.325</v>
      </c>
      <c r="L307" s="8">
        <v>0</v>
      </c>
      <c r="M307" s="8"/>
      <c r="N307" s="8"/>
      <c r="O307" s="8"/>
      <c r="P307" s="8"/>
      <c r="Q307" s="8"/>
      <c r="R307" s="24">
        <f t="shared" si="12"/>
        <v>138.985</v>
      </c>
      <c r="S307" s="3">
        <v>0</v>
      </c>
      <c r="T307" s="3">
        <v>21.66</v>
      </c>
      <c r="U307" s="3">
        <v>117.325</v>
      </c>
      <c r="V307" s="8">
        <v>0</v>
      </c>
      <c r="W307" s="8"/>
      <c r="X307" s="8"/>
      <c r="Y307" s="8"/>
      <c r="Z307" s="8"/>
      <c r="AA307" s="8"/>
      <c r="AB307" s="8"/>
      <c r="AC307" s="8"/>
      <c r="AD307" s="8">
        <v>0.135</v>
      </c>
      <c r="AE307" s="43">
        <v>2011</v>
      </c>
      <c r="AF307" s="43">
        <v>30</v>
      </c>
      <c r="AG307" s="10"/>
      <c r="AH307" s="329" t="s">
        <v>59</v>
      </c>
      <c r="AI307" s="142">
        <v>0.17</v>
      </c>
      <c r="AJ307" s="10"/>
    </row>
    <row r="308" spans="1:36" ht="12.75">
      <c r="A308" s="11"/>
      <c r="B308" s="13" t="s">
        <v>483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23">
        <f t="shared" si="11"/>
        <v>138.985</v>
      </c>
      <c r="I308" s="8">
        <v>0</v>
      </c>
      <c r="J308" s="8">
        <v>21.66</v>
      </c>
      <c r="K308" s="8">
        <v>117.325</v>
      </c>
      <c r="L308" s="8">
        <v>0</v>
      </c>
      <c r="M308" s="8"/>
      <c r="N308" s="8"/>
      <c r="O308" s="8"/>
      <c r="P308" s="8"/>
      <c r="Q308" s="8"/>
      <c r="R308" s="23">
        <f t="shared" si="12"/>
        <v>138.985</v>
      </c>
      <c r="S308" s="8">
        <v>0</v>
      </c>
      <c r="T308" s="8">
        <v>21.66</v>
      </c>
      <c r="U308" s="8">
        <v>117.325</v>
      </c>
      <c r="V308" s="8">
        <v>0</v>
      </c>
      <c r="W308" s="8"/>
      <c r="X308" s="8"/>
      <c r="Y308" s="8"/>
      <c r="Z308" s="8"/>
      <c r="AA308" s="8"/>
      <c r="AB308" s="8"/>
      <c r="AC308" s="8"/>
      <c r="AD308" s="8"/>
      <c r="AE308" s="10"/>
      <c r="AF308" s="10"/>
      <c r="AG308" s="10"/>
      <c r="AH308" s="329"/>
      <c r="AI308" s="125"/>
      <c r="AJ308" s="10"/>
    </row>
    <row r="309" spans="1:36" ht="12.75">
      <c r="A309" s="11"/>
      <c r="B309" s="13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10"/>
      <c r="AF309" s="10"/>
      <c r="AG309" s="10"/>
      <c r="AH309" s="10"/>
      <c r="AI309" s="10"/>
      <c r="AJ309" s="10"/>
    </row>
    <row r="310" spans="1:36" ht="12.75" customHeight="1">
      <c r="A310" s="15" t="s">
        <v>484</v>
      </c>
      <c r="B310" s="15"/>
      <c r="C310" s="3"/>
      <c r="D310" s="3"/>
      <c r="E310" s="3"/>
      <c r="F310" s="3"/>
      <c r="G310" s="3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10"/>
      <c r="AF310" s="10"/>
      <c r="AG310" s="10"/>
      <c r="AH310" s="10"/>
      <c r="AI310" s="10"/>
      <c r="AJ310" s="10"/>
    </row>
    <row r="311" spans="1:36" ht="12.75">
      <c r="A311" s="3"/>
      <c r="B311" s="3" t="s">
        <v>485</v>
      </c>
      <c r="C311" s="3"/>
      <c r="D311" s="3"/>
      <c r="E311" s="3"/>
      <c r="F311" s="3"/>
      <c r="G311" s="3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10"/>
      <c r="AF311" s="10"/>
      <c r="AG311" s="10"/>
      <c r="AH311" s="10"/>
      <c r="AI311" s="10"/>
      <c r="AJ311" s="10"/>
    </row>
    <row r="312" spans="1:36" ht="12.75">
      <c r="A312" s="8">
        <v>1</v>
      </c>
      <c r="B312" s="13" t="s">
        <v>323</v>
      </c>
      <c r="C312" s="3"/>
      <c r="D312" s="3"/>
      <c r="E312" s="3"/>
      <c r="F312" s="3"/>
      <c r="G312" s="3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10"/>
      <c r="AF312" s="10"/>
      <c r="AG312" s="10"/>
      <c r="AH312" s="10"/>
      <c r="AI312" s="10"/>
      <c r="AJ312" s="10"/>
    </row>
    <row r="313" spans="1:36" ht="12.75">
      <c r="A313" s="8">
        <v>2</v>
      </c>
      <c r="B313" s="13" t="s">
        <v>324</v>
      </c>
      <c r="C313" s="3"/>
      <c r="D313" s="3"/>
      <c r="E313" s="3"/>
      <c r="F313" s="3"/>
      <c r="G313" s="3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10"/>
      <c r="AF313" s="10"/>
      <c r="AG313" s="10"/>
      <c r="AH313" s="10"/>
      <c r="AI313" s="10"/>
      <c r="AJ313" s="10"/>
    </row>
    <row r="314" spans="1:36" ht="12.75">
      <c r="A314" s="8" t="s">
        <v>325</v>
      </c>
      <c r="B314" s="8"/>
      <c r="C314" s="8"/>
      <c r="D314" s="8"/>
      <c r="E314" s="8"/>
      <c r="F314" s="8"/>
      <c r="G314" s="8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</row>
    <row r="315" spans="1:7" ht="12.75">
      <c r="A315" s="93"/>
      <c r="B315" s="94"/>
      <c r="C315" s="94"/>
      <c r="D315" s="94"/>
      <c r="E315" s="94"/>
      <c r="F315" s="94"/>
      <c r="G315" s="94"/>
    </row>
    <row r="316" ht="12.75">
      <c r="A316" s="98"/>
    </row>
    <row r="317" ht="12.75">
      <c r="A317" s="98"/>
    </row>
    <row r="318" spans="4:96" ht="26.25" customHeight="1">
      <c r="D318" s="280" t="s">
        <v>893</v>
      </c>
      <c r="E318" s="280"/>
      <c r="F318" s="280"/>
      <c r="G318" s="280"/>
      <c r="H318" s="280"/>
      <c r="I318" s="280"/>
      <c r="J318" s="280"/>
      <c r="L318" s="280"/>
      <c r="N318" s="133"/>
      <c r="O318" s="133"/>
      <c r="P318" s="133"/>
      <c r="Q318" s="133"/>
      <c r="R318" s="280" t="s">
        <v>894</v>
      </c>
      <c r="X318" s="94"/>
      <c r="Y318" s="94"/>
      <c r="Z318" s="94"/>
      <c r="AA318" s="94"/>
      <c r="AB318" s="94"/>
      <c r="AC318" s="94"/>
      <c r="AD318" s="94"/>
      <c r="AE318" s="94"/>
      <c r="AF318" s="94"/>
      <c r="AG318" s="94"/>
      <c r="AH318" s="94"/>
      <c r="AI318" s="94"/>
      <c r="AJ318" s="94"/>
      <c r="AK318" s="94"/>
      <c r="AL318" s="94"/>
      <c r="AM318" s="94"/>
      <c r="AN318" s="94"/>
      <c r="AO318" s="94"/>
      <c r="AP318" s="94"/>
      <c r="AQ318" s="94"/>
      <c r="AR318" s="94"/>
      <c r="AS318" s="94"/>
      <c r="AT318" s="94"/>
      <c r="AU318" s="94"/>
      <c r="AV318" s="94"/>
      <c r="AW318" s="94"/>
      <c r="AX318" s="94"/>
      <c r="AY318" s="94"/>
      <c r="AZ318" s="94"/>
      <c r="BA318" s="94"/>
      <c r="BB318" s="94"/>
      <c r="BC318" s="94"/>
      <c r="BD318" s="94"/>
      <c r="BE318" s="94"/>
      <c r="BF318" s="94"/>
      <c r="BG318" s="94"/>
      <c r="BH318" s="94"/>
      <c r="BI318" s="94"/>
      <c r="BJ318" s="94"/>
      <c r="BK318" s="94"/>
      <c r="BL318" s="94"/>
      <c r="BM318" s="94"/>
      <c r="BN318" s="94"/>
      <c r="BO318" s="94"/>
      <c r="BP318" s="94"/>
      <c r="BQ318" s="94"/>
      <c r="BR318" s="94"/>
      <c r="BS318" s="94"/>
      <c r="BT318" s="94"/>
      <c r="BU318" s="94"/>
      <c r="BV318" s="94"/>
      <c r="BW318" s="94"/>
      <c r="BX318" s="94"/>
      <c r="BY318" s="94"/>
      <c r="BZ318" s="94"/>
      <c r="CA318" s="94"/>
      <c r="CB318" s="94"/>
      <c r="CC318" s="94"/>
      <c r="CD318" s="94"/>
      <c r="CE318" s="94"/>
      <c r="CF318" s="94"/>
      <c r="CG318" s="94"/>
      <c r="CH318" s="94"/>
      <c r="CI318" s="94"/>
      <c r="CJ318" s="94"/>
      <c r="CK318" s="94"/>
      <c r="CL318" s="94"/>
      <c r="CM318" s="94"/>
      <c r="CN318" s="94"/>
      <c r="CO318" s="94"/>
      <c r="CP318" s="94"/>
      <c r="CQ318" s="94"/>
      <c r="CR318" s="94"/>
    </row>
    <row r="324" ht="33.75" customHeight="1"/>
  </sheetData>
  <sheetProtection selectLockedCells="1" selectUnlockedCells="1"/>
  <mergeCells count="13">
    <mergeCell ref="A3:AJ3"/>
    <mergeCell ref="A13:A14"/>
    <mergeCell ref="B13:B14"/>
    <mergeCell ref="C13:G14"/>
    <mergeCell ref="H13:L14"/>
    <mergeCell ref="M13:Q14"/>
    <mergeCell ref="R13:V14"/>
    <mergeCell ref="W13:AJ13"/>
    <mergeCell ref="W14:Z14"/>
    <mergeCell ref="AA14:AD14"/>
    <mergeCell ref="AE14:AI14"/>
    <mergeCell ref="AJ14:AJ15"/>
    <mergeCell ref="A310:B310"/>
  </mergeCells>
  <printOptions/>
  <pageMargins left="0.425" right="0.3298611111111111" top="0.3" bottom="0.20972222222222223" header="0.5118055555555555" footer="0.5118055555555555"/>
  <pageSetup fitToHeight="0" fitToWidth="1" horizontalDpi="300" verticalDpi="300" orientation="landscape" paperSize="9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="63" zoomScaleNormal="63" zoomScaleSheetLayoutView="59" workbookViewId="0" topLeftCell="A1">
      <selection activeCell="B45" sqref="B45"/>
    </sheetView>
  </sheetViews>
  <sheetFormatPr defaultColWidth="9.00390625" defaultRowHeight="15.75"/>
  <cols>
    <col min="1" max="1" width="5.625" style="100" customWidth="1"/>
    <col min="2" max="2" width="34.875" style="100" customWidth="1"/>
    <col min="3" max="4" width="12.75390625" style="100" customWidth="1"/>
    <col min="5" max="5" width="10.50390625" style="100" customWidth="1"/>
    <col min="6" max="6" width="12.125" style="100" customWidth="1"/>
    <col min="7" max="7" width="10.75390625" style="100" customWidth="1"/>
    <col min="8" max="8" width="12.25390625" style="100" customWidth="1"/>
    <col min="9" max="9" width="12.375" style="100" customWidth="1"/>
    <col min="10" max="11" width="13.00390625" style="100" customWidth="1"/>
    <col min="12" max="12" width="12.875" style="100" customWidth="1"/>
    <col min="13" max="13" width="16.875" style="100" customWidth="1"/>
    <col min="14" max="14" width="14.00390625" style="100" customWidth="1"/>
    <col min="15" max="16384" width="9.00390625" style="100" customWidth="1"/>
  </cols>
  <sheetData>
    <row r="1" spans="1:15" ht="61.5" customHeight="1">
      <c r="A1" s="332" t="s">
        <v>987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3"/>
      <c r="O1" s="333"/>
    </row>
    <row r="2" spans="1:15" ht="12.7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9"/>
      <c r="O2" s="109"/>
    </row>
    <row r="3" spans="6:18" ht="12.75">
      <c r="F3" s="334"/>
      <c r="G3" s="334"/>
      <c r="H3" s="105"/>
      <c r="I3" s="105"/>
      <c r="J3" s="335"/>
      <c r="K3" s="335"/>
      <c r="L3" s="335"/>
      <c r="M3" s="336" t="s">
        <v>489</v>
      </c>
      <c r="N3" s="337"/>
      <c r="O3" s="137"/>
      <c r="P3" s="137"/>
      <c r="Q3" s="137"/>
      <c r="R3" s="337"/>
    </row>
    <row r="4" spans="6:18" ht="12.75">
      <c r="F4" s="334"/>
      <c r="G4" s="334"/>
      <c r="H4" s="105"/>
      <c r="I4" s="105"/>
      <c r="J4" s="335"/>
      <c r="K4" s="335"/>
      <c r="L4" s="335"/>
      <c r="M4" s="336" t="s">
        <v>490</v>
      </c>
      <c r="N4" s="337"/>
      <c r="O4" s="137"/>
      <c r="P4" s="137"/>
      <c r="Q4" s="137"/>
      <c r="R4" s="337"/>
    </row>
    <row r="5" spans="6:18" ht="12.75">
      <c r="F5" s="334"/>
      <c r="G5" s="334"/>
      <c r="H5" s="105"/>
      <c r="I5" s="105"/>
      <c r="J5" s="335"/>
      <c r="K5" s="335"/>
      <c r="L5" s="335"/>
      <c r="M5" s="336" t="s">
        <v>491</v>
      </c>
      <c r="N5" s="337"/>
      <c r="O5" s="137"/>
      <c r="P5" s="137"/>
      <c r="Q5" s="137"/>
      <c r="R5" s="337"/>
    </row>
    <row r="6" spans="6:18" ht="12.75">
      <c r="F6" s="334"/>
      <c r="G6" s="334"/>
      <c r="H6" s="105"/>
      <c r="I6" s="105"/>
      <c r="J6" s="335"/>
      <c r="K6" s="335"/>
      <c r="L6" s="335"/>
      <c r="M6" s="336" t="s">
        <v>492</v>
      </c>
      <c r="N6" s="337"/>
      <c r="O6" s="137"/>
      <c r="P6" s="137"/>
      <c r="Q6" s="137"/>
      <c r="R6" s="337"/>
    </row>
    <row r="7" spans="6:18" ht="12.75">
      <c r="F7" s="334"/>
      <c r="G7" s="334"/>
      <c r="H7" s="105"/>
      <c r="I7" s="105"/>
      <c r="J7" s="335"/>
      <c r="K7" s="335"/>
      <c r="L7" s="335"/>
      <c r="M7" s="336" t="s">
        <v>493</v>
      </c>
      <c r="N7" s="337"/>
      <c r="O7" s="137"/>
      <c r="P7" s="137"/>
      <c r="Q7" s="137"/>
      <c r="R7" s="337"/>
    </row>
    <row r="8" spans="6:18" ht="12.75">
      <c r="F8" s="334"/>
      <c r="G8" s="334"/>
      <c r="H8" s="105"/>
      <c r="I8" s="105"/>
      <c r="J8" s="335"/>
      <c r="K8" s="335"/>
      <c r="L8" s="335"/>
      <c r="M8" s="336" t="s">
        <v>494</v>
      </c>
      <c r="N8" s="337"/>
      <c r="O8" s="137"/>
      <c r="P8" s="137"/>
      <c r="Q8" s="137"/>
      <c r="R8" s="337"/>
    </row>
    <row r="9" spans="1:18" ht="12.75">
      <c r="A9" s="107"/>
      <c r="F9" s="334"/>
      <c r="G9" s="334"/>
      <c r="H9" s="105"/>
      <c r="I9" s="105"/>
      <c r="J9" s="335"/>
      <c r="K9" s="335"/>
      <c r="L9" s="335"/>
      <c r="M9" s="336" t="s">
        <v>495</v>
      </c>
      <c r="N9" s="337"/>
      <c r="O9" s="137"/>
      <c r="P9" s="137"/>
      <c r="Q9" s="137"/>
      <c r="R9" s="337"/>
    </row>
    <row r="10" spans="1:13" ht="32.25" customHeight="1">
      <c r="A10" s="338" t="s">
        <v>1</v>
      </c>
      <c r="B10" s="338" t="s">
        <v>496</v>
      </c>
      <c r="C10" s="338" t="s">
        <v>988</v>
      </c>
      <c r="D10" s="338"/>
      <c r="E10" s="338"/>
      <c r="F10" s="338"/>
      <c r="G10" s="338"/>
      <c r="H10" s="338"/>
      <c r="I10" s="338"/>
      <c r="J10" s="338"/>
      <c r="K10" s="338"/>
      <c r="L10" s="338"/>
      <c r="M10" s="338" t="s">
        <v>498</v>
      </c>
    </row>
    <row r="11" spans="1:13" ht="15.75" customHeight="1">
      <c r="A11" s="338"/>
      <c r="B11" s="338"/>
      <c r="C11" s="338" t="s">
        <v>554</v>
      </c>
      <c r="D11" s="338"/>
      <c r="E11" s="338" t="s">
        <v>555</v>
      </c>
      <c r="F11" s="338"/>
      <c r="G11" s="338" t="s">
        <v>556</v>
      </c>
      <c r="H11" s="338"/>
      <c r="I11" s="338" t="s">
        <v>557</v>
      </c>
      <c r="J11" s="338"/>
      <c r="K11" s="338" t="s">
        <v>558</v>
      </c>
      <c r="L11" s="338"/>
      <c r="M11" s="338"/>
    </row>
    <row r="12" spans="1:13" ht="12.75">
      <c r="A12" s="338"/>
      <c r="B12" s="338"/>
      <c r="C12" s="338" t="s">
        <v>989</v>
      </c>
      <c r="D12" s="338" t="s">
        <v>990</v>
      </c>
      <c r="E12" s="338" t="s">
        <v>564</v>
      </c>
      <c r="F12" s="338" t="s">
        <v>565</v>
      </c>
      <c r="G12" s="338" t="s">
        <v>564</v>
      </c>
      <c r="H12" s="338" t="s">
        <v>565</v>
      </c>
      <c r="I12" s="338" t="s">
        <v>564</v>
      </c>
      <c r="J12" s="338" t="s">
        <v>565</v>
      </c>
      <c r="K12" s="338" t="s">
        <v>564</v>
      </c>
      <c r="L12" s="338" t="s">
        <v>565</v>
      </c>
      <c r="M12" s="338"/>
    </row>
    <row r="13" spans="1:15" ht="12.75">
      <c r="A13" s="339">
        <v>1</v>
      </c>
      <c r="B13" s="340" t="s">
        <v>501</v>
      </c>
      <c r="C13" s="341">
        <v>48469.7</v>
      </c>
      <c r="D13" s="341">
        <f>F13+H13+J13+L13</f>
        <v>109849</v>
      </c>
      <c r="E13" s="341">
        <v>8500.5</v>
      </c>
      <c r="F13" s="341">
        <f>F17+F21</f>
        <v>14384.3</v>
      </c>
      <c r="G13" s="341">
        <v>9635.3</v>
      </c>
      <c r="H13" s="341">
        <f>H17+H21+H14</f>
        <v>28201.7</v>
      </c>
      <c r="I13" s="341">
        <v>18360.7</v>
      </c>
      <c r="J13" s="341">
        <v>31435</v>
      </c>
      <c r="K13" s="341">
        <f>C13-E13-G13-I13</f>
        <v>11973.199999999997</v>
      </c>
      <c r="L13" s="341">
        <f>109849-F13-H13-J13</f>
        <v>35828</v>
      </c>
      <c r="M13" s="339"/>
      <c r="N13" s="342"/>
      <c r="O13" s="115"/>
    </row>
    <row r="14" spans="1:13" ht="12.75">
      <c r="A14" s="343" t="s">
        <v>31</v>
      </c>
      <c r="B14" s="344" t="s">
        <v>502</v>
      </c>
      <c r="C14" s="345">
        <v>10000</v>
      </c>
      <c r="D14" s="345">
        <f>I14+L14+D17</f>
        <v>73014.8</v>
      </c>
      <c r="E14" s="345"/>
      <c r="F14" s="345"/>
      <c r="G14" s="346"/>
      <c r="H14" s="346"/>
      <c r="I14" s="346">
        <f>I13-I21</f>
        <v>7644.300000000001</v>
      </c>
      <c r="J14" s="346">
        <f>C14-K14</f>
        <v>7644.300000000003</v>
      </c>
      <c r="K14" s="345">
        <f>K13-K22</f>
        <v>2355.699999999997</v>
      </c>
      <c r="L14" s="345">
        <f>12646.7-J14</f>
        <v>5002.399999999998</v>
      </c>
      <c r="M14" s="347"/>
    </row>
    <row r="15" spans="1:13" ht="12.75">
      <c r="A15" s="343" t="s">
        <v>33</v>
      </c>
      <c r="B15" s="344" t="s">
        <v>503</v>
      </c>
      <c r="C15" s="345">
        <v>10000</v>
      </c>
      <c r="D15" s="345">
        <f>D13-D17-D21</f>
        <v>12646.700000000004</v>
      </c>
      <c r="E15" s="345"/>
      <c r="F15" s="345"/>
      <c r="G15" s="346"/>
      <c r="H15" s="346"/>
      <c r="I15" s="346"/>
      <c r="J15" s="346"/>
      <c r="K15" s="345"/>
      <c r="L15" s="345"/>
      <c r="M15" s="347"/>
    </row>
    <row r="16" spans="1:13" ht="12.75">
      <c r="A16" s="343" t="s">
        <v>504</v>
      </c>
      <c r="B16" s="344" t="s">
        <v>505</v>
      </c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7"/>
    </row>
    <row r="17" spans="1:13" ht="12.75">
      <c r="A17" s="343" t="s">
        <v>76</v>
      </c>
      <c r="B17" s="344" t="s">
        <v>506</v>
      </c>
      <c r="C17" s="348"/>
      <c r="D17" s="345">
        <v>60368.1</v>
      </c>
      <c r="E17" s="348"/>
      <c r="F17" s="345">
        <v>6471.5</v>
      </c>
      <c r="G17" s="348"/>
      <c r="H17" s="346">
        <v>18442.5</v>
      </c>
      <c r="I17" s="348"/>
      <c r="J17" s="345">
        <v>13410.6</v>
      </c>
      <c r="K17" s="345"/>
      <c r="L17" s="345">
        <f>60368.1-F17-H17-J17</f>
        <v>22043.5</v>
      </c>
      <c r="M17" s="347"/>
    </row>
    <row r="18" spans="1:13" ht="12.75">
      <c r="A18" s="343" t="s">
        <v>507</v>
      </c>
      <c r="B18" s="344" t="s">
        <v>508</v>
      </c>
      <c r="C18" s="348"/>
      <c r="D18" s="345"/>
      <c r="E18" s="348"/>
      <c r="F18" s="348"/>
      <c r="G18" s="348"/>
      <c r="H18" s="348"/>
      <c r="I18" s="348"/>
      <c r="J18" s="348"/>
      <c r="K18" s="345"/>
      <c r="L18" s="345"/>
      <c r="M18" s="347"/>
    </row>
    <row r="19" spans="1:13" ht="12.75">
      <c r="A19" s="343" t="s">
        <v>509</v>
      </c>
      <c r="B19" s="344" t="s">
        <v>510</v>
      </c>
      <c r="C19" s="345"/>
      <c r="D19" s="345">
        <v>60368.1</v>
      </c>
      <c r="E19" s="345"/>
      <c r="F19" s="345">
        <v>6471.5</v>
      </c>
      <c r="G19" s="346"/>
      <c r="H19" s="346">
        <v>18442.5</v>
      </c>
      <c r="I19" s="346"/>
      <c r="J19" s="345">
        <v>13410.6</v>
      </c>
      <c r="K19" s="345"/>
      <c r="L19" s="345">
        <f>60368.1-F19-H19-J19</f>
        <v>22043.5</v>
      </c>
      <c r="M19" s="347"/>
    </row>
    <row r="20" spans="1:13" ht="12.75">
      <c r="A20" s="343" t="s">
        <v>173</v>
      </c>
      <c r="B20" s="344" t="s">
        <v>511</v>
      </c>
      <c r="C20" s="345"/>
      <c r="D20" s="345"/>
      <c r="E20" s="345"/>
      <c r="F20" s="345"/>
      <c r="G20" s="346"/>
      <c r="H20" s="346"/>
      <c r="I20" s="346"/>
      <c r="J20" s="346"/>
      <c r="K20" s="345"/>
      <c r="L20" s="345"/>
      <c r="M20" s="347"/>
    </row>
    <row r="21" spans="1:14" ht="12.75">
      <c r="A21" s="343" t="s">
        <v>213</v>
      </c>
      <c r="B21" s="344" t="s">
        <v>512</v>
      </c>
      <c r="C21" s="345">
        <f>C22</f>
        <v>38469.7</v>
      </c>
      <c r="D21" s="345">
        <f>F21+H21+J21+L21</f>
        <v>36834.2</v>
      </c>
      <c r="E21" s="345">
        <v>8500.5</v>
      </c>
      <c r="F21" s="345">
        <v>7912.8</v>
      </c>
      <c r="G21" s="345">
        <v>9635.3</v>
      </c>
      <c r="H21" s="346">
        <v>9759.2</v>
      </c>
      <c r="I21" s="346">
        <f>I22</f>
        <v>10716.4</v>
      </c>
      <c r="J21" s="346">
        <f>J22</f>
        <v>10380.099999999997</v>
      </c>
      <c r="K21" s="346">
        <f>K22</f>
        <v>9617.5</v>
      </c>
      <c r="L21" s="345">
        <f>36834.2-F21-H21-J21</f>
        <v>8782.1</v>
      </c>
      <c r="M21" s="347"/>
      <c r="N21" s="349"/>
    </row>
    <row r="22" spans="1:15" ht="12.75">
      <c r="A22" s="343" t="s">
        <v>513</v>
      </c>
      <c r="B22" s="344" t="s">
        <v>514</v>
      </c>
      <c r="C22" s="345">
        <f>E22+G22+I22+K22</f>
        <v>38469.7</v>
      </c>
      <c r="D22" s="345">
        <f>F22+H22+J22+L22</f>
        <v>36834.2</v>
      </c>
      <c r="E22" s="345">
        <v>8500.5</v>
      </c>
      <c r="F22" s="345">
        <v>7912.8</v>
      </c>
      <c r="G22" s="345">
        <v>9635.3</v>
      </c>
      <c r="H22" s="346">
        <v>9759.2</v>
      </c>
      <c r="I22" s="346">
        <v>10716.4</v>
      </c>
      <c r="J22" s="346">
        <f>J13-J14-J17</f>
        <v>10380.099999999997</v>
      </c>
      <c r="K22" s="345">
        <v>9617.5</v>
      </c>
      <c r="L22" s="345">
        <f>36834.2-F22-H22-J22</f>
        <v>8782.1</v>
      </c>
      <c r="M22" s="347"/>
      <c r="N22" s="349"/>
      <c r="O22" s="349"/>
    </row>
    <row r="23" spans="1:13" ht="12.75">
      <c r="A23" s="343" t="s">
        <v>515</v>
      </c>
      <c r="B23" s="344" t="s">
        <v>516</v>
      </c>
      <c r="C23" s="346"/>
      <c r="D23" s="346"/>
      <c r="E23" s="346"/>
      <c r="F23" s="346"/>
      <c r="G23" s="346"/>
      <c r="H23" s="346"/>
      <c r="I23" s="346"/>
      <c r="J23" s="346"/>
      <c r="K23" s="345"/>
      <c r="L23" s="345"/>
      <c r="M23" s="347"/>
    </row>
    <row r="24" spans="1:13" ht="12.75">
      <c r="A24" s="343" t="s">
        <v>517</v>
      </c>
      <c r="B24" s="344" t="s">
        <v>518</v>
      </c>
      <c r="C24" s="346"/>
      <c r="D24" s="346"/>
      <c r="E24" s="346"/>
      <c r="F24" s="346"/>
      <c r="G24" s="346"/>
      <c r="H24" s="346"/>
      <c r="I24" s="346"/>
      <c r="J24" s="346"/>
      <c r="K24" s="345"/>
      <c r="L24" s="345"/>
      <c r="M24" s="347"/>
    </row>
    <row r="25" spans="1:13" ht="12.75">
      <c r="A25" s="343" t="s">
        <v>228</v>
      </c>
      <c r="B25" s="344" t="s">
        <v>519</v>
      </c>
      <c r="C25" s="346"/>
      <c r="D25" s="346"/>
      <c r="E25" s="346"/>
      <c r="F25" s="346"/>
      <c r="G25" s="346"/>
      <c r="H25" s="346"/>
      <c r="I25" s="346"/>
      <c r="J25" s="346"/>
      <c r="K25" s="345"/>
      <c r="L25" s="345"/>
      <c r="M25" s="347"/>
    </row>
    <row r="26" spans="1:13" ht="12.75">
      <c r="A26" s="343" t="s">
        <v>520</v>
      </c>
      <c r="B26" s="344" t="s">
        <v>521</v>
      </c>
      <c r="C26" s="346"/>
      <c r="D26" s="346"/>
      <c r="E26" s="346"/>
      <c r="F26" s="346"/>
      <c r="G26" s="346"/>
      <c r="H26" s="346"/>
      <c r="I26" s="346"/>
      <c r="J26" s="346"/>
      <c r="K26" s="345"/>
      <c r="L26" s="345"/>
      <c r="M26" s="347"/>
    </row>
    <row r="27" spans="1:13" ht="12.75">
      <c r="A27" s="343" t="s">
        <v>522</v>
      </c>
      <c r="B27" s="344" t="s">
        <v>523</v>
      </c>
      <c r="C27" s="346"/>
      <c r="D27" s="346"/>
      <c r="E27" s="346"/>
      <c r="F27" s="346"/>
      <c r="G27" s="346"/>
      <c r="H27" s="346"/>
      <c r="I27" s="346"/>
      <c r="J27" s="346"/>
      <c r="K27" s="345"/>
      <c r="L27" s="345"/>
      <c r="M27" s="347"/>
    </row>
    <row r="28" spans="1:13" ht="12.75">
      <c r="A28" s="343" t="s">
        <v>321</v>
      </c>
      <c r="B28" s="344" t="s">
        <v>524</v>
      </c>
      <c r="C28" s="346"/>
      <c r="D28" s="346"/>
      <c r="E28" s="346"/>
      <c r="F28" s="346"/>
      <c r="G28" s="346"/>
      <c r="H28" s="346"/>
      <c r="I28" s="346"/>
      <c r="J28" s="346"/>
      <c r="K28" s="345"/>
      <c r="L28" s="345"/>
      <c r="M28" s="347"/>
    </row>
    <row r="29" spans="1:13" ht="12.75">
      <c r="A29" s="350" t="s">
        <v>326</v>
      </c>
      <c r="B29" s="340" t="s">
        <v>525</v>
      </c>
      <c r="C29" s="351"/>
      <c r="D29" s="351"/>
      <c r="E29" s="351"/>
      <c r="F29" s="351"/>
      <c r="G29" s="351"/>
      <c r="H29" s="351"/>
      <c r="I29" s="351"/>
      <c r="J29" s="351"/>
      <c r="K29" s="352"/>
      <c r="L29" s="352"/>
      <c r="M29" s="353"/>
    </row>
    <row r="30" spans="1:13" ht="12.75">
      <c r="A30" s="343" t="s">
        <v>328</v>
      </c>
      <c r="B30" s="344" t="s">
        <v>526</v>
      </c>
      <c r="C30" s="346"/>
      <c r="D30" s="346"/>
      <c r="E30" s="346"/>
      <c r="F30" s="346"/>
      <c r="G30" s="346"/>
      <c r="H30" s="346"/>
      <c r="I30" s="346"/>
      <c r="J30" s="346"/>
      <c r="K30" s="345"/>
      <c r="L30" s="345"/>
      <c r="M30" s="347"/>
    </row>
    <row r="31" spans="1:13" ht="12.75">
      <c r="A31" s="343" t="s">
        <v>409</v>
      </c>
      <c r="B31" s="344" t="s">
        <v>527</v>
      </c>
      <c r="C31" s="346"/>
      <c r="D31" s="346"/>
      <c r="E31" s="346"/>
      <c r="F31" s="346"/>
      <c r="G31" s="346"/>
      <c r="H31" s="346"/>
      <c r="I31" s="346"/>
      <c r="J31" s="346"/>
      <c r="K31" s="345"/>
      <c r="L31" s="345"/>
      <c r="M31" s="347"/>
    </row>
    <row r="32" spans="1:13" ht="21.75" customHeight="1">
      <c r="A32" s="354" t="s">
        <v>528</v>
      </c>
      <c r="B32" s="344" t="s">
        <v>529</v>
      </c>
      <c r="C32" s="355"/>
      <c r="D32" s="355"/>
      <c r="E32" s="355"/>
      <c r="F32" s="355"/>
      <c r="G32" s="356"/>
      <c r="H32" s="356"/>
      <c r="I32" s="356"/>
      <c r="J32" s="356"/>
      <c r="K32" s="356"/>
      <c r="L32" s="356"/>
      <c r="M32" s="357"/>
    </row>
    <row r="33" spans="1:13" ht="12.75">
      <c r="A33" s="354" t="s">
        <v>530</v>
      </c>
      <c r="B33" s="344" t="s">
        <v>531</v>
      </c>
      <c r="C33" s="355"/>
      <c r="D33" s="355"/>
      <c r="E33" s="355"/>
      <c r="F33" s="355"/>
      <c r="G33" s="356"/>
      <c r="H33" s="356"/>
      <c r="I33" s="356"/>
      <c r="J33" s="356"/>
      <c r="K33" s="356"/>
      <c r="L33" s="356"/>
      <c r="M33" s="357"/>
    </row>
    <row r="34" spans="1:13" ht="12.75">
      <c r="A34" s="343" t="s">
        <v>532</v>
      </c>
      <c r="B34" s="344" t="s">
        <v>533</v>
      </c>
      <c r="C34" s="355"/>
      <c r="D34" s="355"/>
      <c r="E34" s="355"/>
      <c r="F34" s="355"/>
      <c r="G34" s="356"/>
      <c r="H34" s="356"/>
      <c r="I34" s="356"/>
      <c r="J34" s="356"/>
      <c r="K34" s="356"/>
      <c r="L34" s="356"/>
      <c r="M34" s="357"/>
    </row>
    <row r="35" spans="1:13" ht="12.75">
      <c r="A35" s="343" t="s">
        <v>534</v>
      </c>
      <c r="B35" s="344" t="s">
        <v>535</v>
      </c>
      <c r="C35" s="355"/>
      <c r="D35" s="355"/>
      <c r="E35" s="355"/>
      <c r="F35" s="355"/>
      <c r="G35" s="356"/>
      <c r="H35" s="356"/>
      <c r="I35" s="356"/>
      <c r="J35" s="356"/>
      <c r="K35" s="356"/>
      <c r="L35" s="356"/>
      <c r="M35" s="357"/>
    </row>
    <row r="36" spans="1:13" ht="12.75">
      <c r="A36" s="343" t="s">
        <v>536</v>
      </c>
      <c r="B36" s="344" t="s">
        <v>537</v>
      </c>
      <c r="C36" s="355"/>
      <c r="D36" s="355"/>
      <c r="E36" s="355"/>
      <c r="F36" s="355"/>
      <c r="G36" s="356"/>
      <c r="H36" s="356"/>
      <c r="I36" s="356"/>
      <c r="J36" s="356"/>
      <c r="K36" s="356"/>
      <c r="L36" s="356"/>
      <c r="M36" s="357"/>
    </row>
    <row r="37" spans="1:13" ht="12.75">
      <c r="A37" s="358"/>
      <c r="B37" s="359" t="s">
        <v>538</v>
      </c>
      <c r="C37" s="341">
        <v>48469.7</v>
      </c>
      <c r="D37" s="341">
        <f>D14+D21</f>
        <v>109849</v>
      </c>
      <c r="E37" s="341">
        <f>E21</f>
        <v>8500.5</v>
      </c>
      <c r="F37" s="341">
        <f>F21+F17</f>
        <v>14384.3</v>
      </c>
      <c r="G37" s="341">
        <f aca="true" t="shared" si="0" ref="G37:L37">G13</f>
        <v>9635.3</v>
      </c>
      <c r="H37" s="341">
        <f t="shared" si="0"/>
        <v>28201.7</v>
      </c>
      <c r="I37" s="341">
        <f t="shared" si="0"/>
        <v>18360.7</v>
      </c>
      <c r="J37" s="341">
        <f t="shared" si="0"/>
        <v>31435</v>
      </c>
      <c r="K37" s="341">
        <f t="shared" si="0"/>
        <v>11973.199999999997</v>
      </c>
      <c r="L37" s="341">
        <f t="shared" si="0"/>
        <v>35828</v>
      </c>
      <c r="M37" s="360"/>
    </row>
    <row r="38" spans="1:13" ht="12.75">
      <c r="A38" s="361"/>
      <c r="B38" s="344" t="s">
        <v>539</v>
      </c>
      <c r="C38" s="355"/>
      <c r="D38" s="355"/>
      <c r="E38" s="355"/>
      <c r="F38" s="355"/>
      <c r="G38" s="356"/>
      <c r="H38" s="356"/>
      <c r="I38" s="356"/>
      <c r="J38" s="356"/>
      <c r="K38" s="356"/>
      <c r="L38" s="356"/>
      <c r="M38" s="357"/>
    </row>
    <row r="39" spans="1:13" ht="12.75">
      <c r="A39" s="361"/>
      <c r="B39" s="362" t="s">
        <v>540</v>
      </c>
      <c r="C39" s="355"/>
      <c r="D39" s="355"/>
      <c r="E39" s="355"/>
      <c r="F39" s="355"/>
      <c r="G39" s="356"/>
      <c r="H39" s="356"/>
      <c r="I39" s="356"/>
      <c r="J39" s="356"/>
      <c r="K39" s="356"/>
      <c r="L39" s="356"/>
      <c r="M39" s="357"/>
    </row>
    <row r="40" spans="1:13" ht="12.75">
      <c r="A40" s="361"/>
      <c r="B40" s="362" t="s">
        <v>541</v>
      </c>
      <c r="C40" s="355"/>
      <c r="D40" s="355"/>
      <c r="E40" s="355"/>
      <c r="F40" s="355"/>
      <c r="G40" s="356"/>
      <c r="H40" s="356"/>
      <c r="I40" s="356"/>
      <c r="J40" s="356"/>
      <c r="K40" s="356"/>
      <c r="L40" s="356"/>
      <c r="M40" s="357"/>
    </row>
    <row r="41" spans="1:13" ht="12.75">
      <c r="A41" s="127"/>
      <c r="B41" s="128"/>
      <c r="C41" s="94"/>
      <c r="D41" s="94"/>
      <c r="E41" s="94"/>
      <c r="F41" s="94"/>
      <c r="G41" s="129"/>
      <c r="H41" s="129"/>
      <c r="I41" s="129"/>
      <c r="J41" s="129"/>
      <c r="K41" s="129"/>
      <c r="L41" s="129"/>
      <c r="M41" s="129"/>
    </row>
    <row r="42" spans="1:12" ht="12.75">
      <c r="A42" s="127" t="s">
        <v>542</v>
      </c>
      <c r="C42" s="130"/>
      <c r="D42" s="130"/>
      <c r="E42" s="130"/>
      <c r="F42" s="130"/>
      <c r="G42" s="130"/>
      <c r="H42" s="130"/>
      <c r="I42" s="130"/>
      <c r="J42" s="130"/>
      <c r="K42" s="130"/>
      <c r="L42" s="130"/>
    </row>
    <row r="43" spans="1:12" ht="12.75">
      <c r="A43" s="127" t="s">
        <v>543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0"/>
    </row>
    <row r="44" spans="1:12" ht="12.75">
      <c r="A44" s="127"/>
      <c r="C44" s="130"/>
      <c r="D44" s="130"/>
      <c r="E44" s="130"/>
      <c r="F44" s="130"/>
      <c r="G44" s="130"/>
      <c r="H44" s="130"/>
      <c r="I44" s="130"/>
      <c r="J44" s="130"/>
      <c r="K44" s="130"/>
      <c r="L44" s="130"/>
    </row>
    <row r="45" spans="1:15" ht="18.75" customHeight="1">
      <c r="A45" s="94"/>
      <c r="B45" s="363" t="s">
        <v>991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94"/>
      <c r="N45" s="129"/>
      <c r="O45" s="129"/>
    </row>
  </sheetData>
  <sheetProtection selectLockedCells="1" selectUnlockedCells="1"/>
  <mergeCells count="11">
    <mergeCell ref="A1:M1"/>
    <mergeCell ref="N1:O1"/>
    <mergeCell ref="A10:A12"/>
    <mergeCell ref="B10:B12"/>
    <mergeCell ref="C10:L10"/>
    <mergeCell ref="M10:M12"/>
    <mergeCell ref="C11:D11"/>
    <mergeCell ref="E11:F11"/>
    <mergeCell ref="G11:H11"/>
    <mergeCell ref="I11:J11"/>
    <mergeCell ref="K11:L11"/>
  </mergeCells>
  <printOptions/>
  <pageMargins left="0.7875" right="0.7875" top="1.0631944444444446" bottom="1.0631944444444446" header="0.5118055555555555" footer="0.5118055555555555"/>
  <pageSetup fitToHeight="0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6"/>
  <sheetViews>
    <sheetView zoomScale="63" zoomScaleNormal="63" zoomScaleSheetLayoutView="59" workbookViewId="0" topLeftCell="A1">
      <selection activeCell="J15" sqref="J15"/>
    </sheetView>
  </sheetViews>
  <sheetFormatPr defaultColWidth="9.00390625" defaultRowHeight="40.5" customHeight="1"/>
  <cols>
    <col min="1" max="1" width="7.25390625" style="1" customWidth="1"/>
    <col min="2" max="2" width="25.25390625" style="1" customWidth="1"/>
    <col min="3" max="3" width="8.00390625" style="1" customWidth="1"/>
    <col min="4" max="4" width="7.25390625" style="1" customWidth="1"/>
    <col min="5" max="5" width="7.125" style="1" customWidth="1"/>
    <col min="6" max="6" width="7.875" style="1" customWidth="1"/>
    <col min="7" max="7" width="7.625" style="1" customWidth="1"/>
    <col min="8" max="9" width="7.25390625" style="1" customWidth="1"/>
    <col min="10" max="10" width="8.375" style="1" customWidth="1"/>
    <col min="11" max="11" width="7.875" style="1" customWidth="1"/>
    <col min="12" max="12" width="8.25390625" style="1" customWidth="1"/>
    <col min="13" max="13" width="7.875" style="1" customWidth="1"/>
    <col min="14" max="14" width="7.25390625" style="1" customWidth="1"/>
    <col min="15" max="15" width="7.375" style="1" customWidth="1"/>
    <col min="16" max="16" width="7.75390625" style="1" customWidth="1"/>
    <col min="17" max="17" width="8.00390625" style="1" customWidth="1"/>
    <col min="18" max="18" width="8.125" style="1" customWidth="1"/>
    <col min="19" max="20" width="8.00390625" style="1" customWidth="1"/>
    <col min="21" max="21" width="8.875" style="1" customWidth="1"/>
    <col min="22" max="22" width="10.75390625" style="1" customWidth="1"/>
    <col min="23" max="16384" width="9.00390625" style="1" customWidth="1"/>
  </cols>
  <sheetData>
    <row r="1" spans="1:22" ht="48.75" customHeight="1">
      <c r="A1" s="364" t="s">
        <v>992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</row>
    <row r="2" spans="13:22" ht="20.25" customHeight="1">
      <c r="M2" s="282"/>
      <c r="S2" s="280"/>
      <c r="T2" s="280"/>
      <c r="U2" s="280"/>
      <c r="V2" s="365" t="s">
        <v>489</v>
      </c>
    </row>
    <row r="3" spans="13:22" ht="20.25" customHeight="1">
      <c r="M3" s="282"/>
      <c r="S3" s="280"/>
      <c r="T3" s="280"/>
      <c r="U3" s="280"/>
      <c r="V3" s="365" t="s">
        <v>490</v>
      </c>
    </row>
    <row r="4" spans="13:22" ht="20.25" customHeight="1">
      <c r="M4" s="282"/>
      <c r="S4" s="280"/>
      <c r="T4" s="280"/>
      <c r="U4" s="280"/>
      <c r="V4" s="365" t="s">
        <v>491</v>
      </c>
    </row>
    <row r="5" spans="13:22" ht="20.25" customHeight="1">
      <c r="M5" s="282"/>
      <c r="S5" s="280"/>
      <c r="T5" s="280"/>
      <c r="U5" s="280"/>
      <c r="V5" s="365" t="s">
        <v>492</v>
      </c>
    </row>
    <row r="6" spans="13:22" ht="20.25" customHeight="1">
      <c r="M6" s="282"/>
      <c r="S6" s="280"/>
      <c r="T6" s="280"/>
      <c r="U6" s="280"/>
      <c r="V6" s="365" t="s">
        <v>493</v>
      </c>
    </row>
    <row r="7" spans="13:22" ht="20.25" customHeight="1">
      <c r="M7" s="282"/>
      <c r="S7" s="280"/>
      <c r="T7" s="280"/>
      <c r="U7" s="280"/>
      <c r="V7" s="365" t="s">
        <v>494</v>
      </c>
    </row>
    <row r="8" spans="19:22" ht="20.25" customHeight="1">
      <c r="S8" s="280"/>
      <c r="T8" s="280"/>
      <c r="U8" s="280"/>
      <c r="V8" s="365" t="s">
        <v>495</v>
      </c>
    </row>
    <row r="9" ht="26.25" customHeight="1">
      <c r="W9" s="138"/>
    </row>
    <row r="10" spans="1:22" ht="15.75" customHeight="1">
      <c r="A10" s="3" t="s">
        <v>993</v>
      </c>
      <c r="B10" s="3" t="s">
        <v>994</v>
      </c>
      <c r="C10" s="76" t="s">
        <v>995</v>
      </c>
      <c r="D10" s="76"/>
      <c r="E10" s="76"/>
      <c r="F10" s="76"/>
      <c r="G10" s="76"/>
      <c r="H10" s="76"/>
      <c r="I10" s="76"/>
      <c r="J10" s="76"/>
      <c r="K10" s="76"/>
      <c r="L10" s="76"/>
      <c r="M10" s="76" t="s">
        <v>996</v>
      </c>
      <c r="N10" s="76"/>
      <c r="O10" s="76"/>
      <c r="P10" s="76"/>
      <c r="Q10" s="76"/>
      <c r="R10" s="76"/>
      <c r="S10" s="76"/>
      <c r="T10" s="76"/>
      <c r="U10" s="76"/>
      <c r="V10" s="76"/>
    </row>
    <row r="11" spans="1:22" ht="15.75" customHeight="1">
      <c r="A11" s="3"/>
      <c r="B11" s="3"/>
      <c r="C11" s="76" t="s">
        <v>989</v>
      </c>
      <c r="D11" s="76"/>
      <c r="E11" s="76"/>
      <c r="F11" s="76"/>
      <c r="G11" s="76"/>
      <c r="H11" s="76" t="s">
        <v>565</v>
      </c>
      <c r="I11" s="76"/>
      <c r="J11" s="76"/>
      <c r="K11" s="76"/>
      <c r="L11" s="76"/>
      <c r="M11" s="76" t="s">
        <v>989</v>
      </c>
      <c r="N11" s="76"/>
      <c r="O11" s="76"/>
      <c r="P11" s="76"/>
      <c r="Q11" s="76"/>
      <c r="R11" s="76" t="s">
        <v>565</v>
      </c>
      <c r="S11" s="76"/>
      <c r="T11" s="76"/>
      <c r="U11" s="76"/>
      <c r="V11" s="76"/>
    </row>
    <row r="12" spans="1:22" ht="15.75" customHeight="1">
      <c r="A12" s="3"/>
      <c r="B12" s="3"/>
      <c r="C12" s="3" t="s">
        <v>997</v>
      </c>
      <c r="D12" s="3"/>
      <c r="E12" s="3"/>
      <c r="F12" s="3"/>
      <c r="G12" s="3"/>
      <c r="H12" s="3" t="s">
        <v>997</v>
      </c>
      <c r="I12" s="3"/>
      <c r="J12" s="3"/>
      <c r="K12" s="3"/>
      <c r="L12" s="3"/>
      <c r="M12" s="3" t="s">
        <v>997</v>
      </c>
      <c r="N12" s="3"/>
      <c r="O12" s="3"/>
      <c r="P12" s="3"/>
      <c r="Q12" s="3"/>
      <c r="R12" s="3" t="s">
        <v>997</v>
      </c>
      <c r="S12" s="3"/>
      <c r="T12" s="3"/>
      <c r="U12" s="3"/>
      <c r="V12" s="3"/>
    </row>
    <row r="13" spans="1:22" ht="33" customHeight="1">
      <c r="A13" s="3"/>
      <c r="B13" s="3"/>
      <c r="C13" s="3" t="s">
        <v>998</v>
      </c>
      <c r="D13" s="3" t="s">
        <v>999</v>
      </c>
      <c r="E13" s="3" t="s">
        <v>1000</v>
      </c>
      <c r="F13" s="3" t="s">
        <v>1001</v>
      </c>
      <c r="G13" s="3" t="s">
        <v>1002</v>
      </c>
      <c r="H13" s="3" t="s">
        <v>998</v>
      </c>
      <c r="I13" s="3" t="s">
        <v>999</v>
      </c>
      <c r="J13" s="3" t="s">
        <v>1000</v>
      </c>
      <c r="K13" s="3" t="s">
        <v>1001</v>
      </c>
      <c r="L13" s="3" t="s">
        <v>1003</v>
      </c>
      <c r="M13" s="75" t="s">
        <v>998</v>
      </c>
      <c r="N13" s="3" t="s">
        <v>999</v>
      </c>
      <c r="O13" s="3" t="s">
        <v>1000</v>
      </c>
      <c r="P13" s="3" t="s">
        <v>1001</v>
      </c>
      <c r="Q13" s="3" t="s">
        <v>1002</v>
      </c>
      <c r="R13" s="3" t="s">
        <v>998</v>
      </c>
      <c r="S13" s="3" t="s">
        <v>999</v>
      </c>
      <c r="T13" s="3" t="s">
        <v>1000</v>
      </c>
      <c r="U13" s="3" t="s">
        <v>1001</v>
      </c>
      <c r="V13" s="3" t="s">
        <v>1002</v>
      </c>
    </row>
    <row r="14" spans="1:22" ht="15.75" customHeight="1">
      <c r="A14" s="366">
        <v>1</v>
      </c>
      <c r="B14" s="366">
        <v>2</v>
      </c>
      <c r="C14" s="46">
        <v>3</v>
      </c>
      <c r="D14" s="46">
        <v>4</v>
      </c>
      <c r="E14" s="46">
        <v>5</v>
      </c>
      <c r="F14" s="46">
        <v>6</v>
      </c>
      <c r="G14" s="46">
        <v>7</v>
      </c>
      <c r="H14" s="367">
        <v>8</v>
      </c>
      <c r="I14" s="367">
        <v>9</v>
      </c>
      <c r="J14" s="367">
        <v>10</v>
      </c>
      <c r="K14" s="367">
        <v>11</v>
      </c>
      <c r="L14" s="367">
        <v>12</v>
      </c>
      <c r="M14" s="46">
        <v>13</v>
      </c>
      <c r="N14" s="46">
        <v>14</v>
      </c>
      <c r="O14" s="46">
        <v>15</v>
      </c>
      <c r="P14" s="46">
        <v>16</v>
      </c>
      <c r="Q14" s="46">
        <v>17</v>
      </c>
      <c r="R14" s="367">
        <v>18</v>
      </c>
      <c r="S14" s="367">
        <v>19</v>
      </c>
      <c r="T14" s="367">
        <v>20</v>
      </c>
      <c r="U14" s="367">
        <v>21</v>
      </c>
      <c r="V14" s="367">
        <v>22</v>
      </c>
    </row>
    <row r="15" spans="1:22" ht="27" customHeight="1">
      <c r="A15" s="368" t="s">
        <v>573</v>
      </c>
      <c r="B15" s="368" t="s">
        <v>29</v>
      </c>
      <c r="C15" s="68"/>
      <c r="D15" s="68"/>
      <c r="E15" s="68"/>
      <c r="F15" s="68"/>
      <c r="G15" s="68"/>
      <c r="H15" s="70"/>
      <c r="I15" s="70"/>
      <c r="J15" s="70"/>
      <c r="K15" s="70"/>
      <c r="L15" s="70"/>
      <c r="M15" s="68"/>
      <c r="N15" s="68"/>
      <c r="O15" s="68"/>
      <c r="P15" s="68"/>
      <c r="Q15" s="68"/>
      <c r="R15" s="70"/>
      <c r="S15" s="70"/>
      <c r="T15" s="70"/>
      <c r="U15" s="70"/>
      <c r="V15" s="70"/>
    </row>
    <row r="16" spans="1:22" s="20" customFormat="1" ht="40.5" customHeight="1">
      <c r="A16" s="369" t="s">
        <v>33</v>
      </c>
      <c r="B16" s="370" t="s">
        <v>712</v>
      </c>
      <c r="C16" s="68">
        <f>C17+C19+C18</f>
        <v>0</v>
      </c>
      <c r="D16" s="68">
        <f>D17+D19+D18</f>
        <v>1.37</v>
      </c>
      <c r="E16" s="68">
        <f>E17+E19+E18</f>
        <v>3.2399999999999998</v>
      </c>
      <c r="F16" s="68">
        <f>F17+F19+F18</f>
        <v>1.12</v>
      </c>
      <c r="G16" s="371">
        <f aca="true" t="shared" si="0" ref="G16:G29">F16+E16+D16+C16</f>
        <v>5.7299999999999995</v>
      </c>
      <c r="H16" s="68">
        <f>H17+H19+H18</f>
        <v>0</v>
      </c>
      <c r="I16" s="68">
        <f>I17+I19+I18</f>
        <v>1.44</v>
      </c>
      <c r="J16" s="68">
        <f>J17+J19+J18</f>
        <v>3.235</v>
      </c>
      <c r="K16" s="68">
        <f>K17+K19+K18</f>
        <v>1.025</v>
      </c>
      <c r="L16" s="371">
        <f aca="true" t="shared" si="1" ref="L16:L29">K16+J16+I16+H16</f>
        <v>5.699999999999999</v>
      </c>
      <c r="M16" s="68">
        <f>M17+M19+M18</f>
        <v>0</v>
      </c>
      <c r="N16" s="68">
        <f>N17+N19+N18</f>
        <v>1.37</v>
      </c>
      <c r="O16" s="68">
        <f>O17+O19+O18</f>
        <v>3.2399999999999998</v>
      </c>
      <c r="P16" s="68">
        <f>P17+P19+P18</f>
        <v>1.12</v>
      </c>
      <c r="Q16" s="371">
        <f aca="true" t="shared" si="2" ref="Q16:Q29">P16+O16+N16+M16</f>
        <v>5.7299999999999995</v>
      </c>
      <c r="R16" s="68">
        <f>R17+R19+R18</f>
        <v>0</v>
      </c>
      <c r="S16" s="68">
        <f>S17+S19+S18</f>
        <v>1.44</v>
      </c>
      <c r="T16" s="68">
        <f>T17+T19+T18</f>
        <v>3.235</v>
      </c>
      <c r="U16" s="68">
        <f>U17+U19+U18</f>
        <v>0.765</v>
      </c>
      <c r="V16" s="371">
        <f aca="true" t="shared" si="3" ref="V16:V29">U16+T16+S16+R16</f>
        <v>5.4399999999999995</v>
      </c>
    </row>
    <row r="17" spans="1:22" ht="20.25" customHeight="1">
      <c r="A17" s="3"/>
      <c r="B17" s="10" t="s">
        <v>35</v>
      </c>
      <c r="C17" s="314">
        <v>0</v>
      </c>
      <c r="D17" s="314">
        <v>0.67</v>
      </c>
      <c r="E17" s="314">
        <f>0.78+1.76+0.3</f>
        <v>2.84</v>
      </c>
      <c r="F17" s="314">
        <v>0.52</v>
      </c>
      <c r="G17" s="372">
        <f t="shared" si="0"/>
        <v>4.03</v>
      </c>
      <c r="H17" s="314">
        <v>0</v>
      </c>
      <c r="I17" s="314">
        <v>0.74</v>
      </c>
      <c r="J17" s="373">
        <f>2.77+0.065</f>
        <v>2.835</v>
      </c>
      <c r="K17" s="314">
        <f>0.525+0.24</f>
        <v>0.765</v>
      </c>
      <c r="L17" s="372">
        <f t="shared" si="1"/>
        <v>4.34</v>
      </c>
      <c r="M17" s="314">
        <v>0</v>
      </c>
      <c r="N17" s="314">
        <v>0.67</v>
      </c>
      <c r="O17" s="314">
        <f>0.78+1.76+0.3</f>
        <v>2.84</v>
      </c>
      <c r="P17" s="314">
        <v>0.52</v>
      </c>
      <c r="Q17" s="372">
        <f t="shared" si="2"/>
        <v>4.03</v>
      </c>
      <c r="R17" s="314">
        <v>0</v>
      </c>
      <c r="S17" s="314">
        <v>0.74</v>
      </c>
      <c r="T17" s="373">
        <f>2.77+0.065</f>
        <v>2.835</v>
      </c>
      <c r="U17" s="314">
        <f>0.525+0.24</f>
        <v>0.765</v>
      </c>
      <c r="V17" s="372">
        <f t="shared" si="3"/>
        <v>4.34</v>
      </c>
    </row>
    <row r="18" spans="1:22" ht="20.25" customHeight="1">
      <c r="A18" s="3"/>
      <c r="B18" s="10" t="s">
        <v>1004</v>
      </c>
      <c r="C18" s="314">
        <v>0</v>
      </c>
      <c r="D18" s="314">
        <v>0</v>
      </c>
      <c r="E18" s="314">
        <v>0</v>
      </c>
      <c r="F18" s="314">
        <v>0.6000000000000001</v>
      </c>
      <c r="G18" s="372">
        <f t="shared" si="0"/>
        <v>0.6000000000000001</v>
      </c>
      <c r="H18" s="314">
        <v>0</v>
      </c>
      <c r="I18" s="314">
        <v>0</v>
      </c>
      <c r="J18" s="373">
        <v>0</v>
      </c>
      <c r="K18" s="314">
        <v>0.26</v>
      </c>
      <c r="L18" s="372">
        <f t="shared" si="1"/>
        <v>0.26</v>
      </c>
      <c r="M18" s="314">
        <v>0</v>
      </c>
      <c r="N18" s="314">
        <v>0</v>
      </c>
      <c r="O18" s="373">
        <v>0</v>
      </c>
      <c r="P18" s="314">
        <v>0.6000000000000001</v>
      </c>
      <c r="Q18" s="372">
        <f t="shared" si="2"/>
        <v>0.6000000000000001</v>
      </c>
      <c r="R18" s="314">
        <v>0</v>
      </c>
      <c r="S18" s="314">
        <v>0</v>
      </c>
      <c r="T18" s="314">
        <v>0</v>
      </c>
      <c r="U18" s="314">
        <v>0</v>
      </c>
      <c r="V18" s="372">
        <f t="shared" si="3"/>
        <v>0</v>
      </c>
    </row>
    <row r="19" spans="1:22" ht="21" customHeight="1">
      <c r="A19" s="3"/>
      <c r="B19" s="10" t="s">
        <v>47</v>
      </c>
      <c r="C19" s="314">
        <v>0</v>
      </c>
      <c r="D19" s="314">
        <v>0.7</v>
      </c>
      <c r="E19" s="314">
        <v>0.4</v>
      </c>
      <c r="F19" s="314"/>
      <c r="G19" s="372">
        <f t="shared" si="0"/>
        <v>1.1</v>
      </c>
      <c r="H19" s="314">
        <v>0</v>
      </c>
      <c r="I19" s="314">
        <v>0.7</v>
      </c>
      <c r="J19" s="314">
        <v>0.4</v>
      </c>
      <c r="K19" s="314"/>
      <c r="L19" s="372">
        <f t="shared" si="1"/>
        <v>1.1</v>
      </c>
      <c r="M19" s="314">
        <v>0</v>
      </c>
      <c r="N19" s="314">
        <v>0.7</v>
      </c>
      <c r="O19" s="314">
        <v>0.4</v>
      </c>
      <c r="P19" s="314"/>
      <c r="Q19" s="372">
        <f t="shared" si="2"/>
        <v>1.1</v>
      </c>
      <c r="R19" s="314">
        <v>0</v>
      </c>
      <c r="S19" s="314">
        <v>0.7</v>
      </c>
      <c r="T19" s="314">
        <v>0.4</v>
      </c>
      <c r="U19" s="314"/>
      <c r="V19" s="372">
        <f t="shared" si="3"/>
        <v>1.1</v>
      </c>
    </row>
    <row r="20" spans="1:22" ht="40.5" customHeight="1">
      <c r="A20" s="369" t="s">
        <v>504</v>
      </c>
      <c r="B20" s="374" t="s">
        <v>77</v>
      </c>
      <c r="C20" s="60">
        <f>C21+C22+C23+C24+C25+C26+C27+C28+C29</f>
        <v>5.45</v>
      </c>
      <c r="D20" s="375">
        <f>D21+D22+D23+D24+D25+D26+D27+D28+D29</f>
        <v>14.66</v>
      </c>
      <c r="E20" s="60">
        <f>E21+E22+E23+E24+E25+E26+E27+E28+E29</f>
        <v>21.224999999999998</v>
      </c>
      <c r="F20" s="60">
        <f>F21+F22+F23+F24+F25+F26+F27+F28+F29</f>
        <v>6.179</v>
      </c>
      <c r="G20" s="371">
        <f t="shared" si="0"/>
        <v>47.513999999999996</v>
      </c>
      <c r="H20" s="60">
        <f>H21+H22+H23+H24+H25+H26+H27+H28+H29</f>
        <v>5.897</v>
      </c>
      <c r="I20" s="375">
        <f>I21+I22+I23+I24+I25+I26+I27+I28+I29</f>
        <v>14.807000000000002</v>
      </c>
      <c r="J20" s="60">
        <f>J21+J22+J23+J24+J25+J26+J27+J28+J29</f>
        <v>21.419999999999998</v>
      </c>
      <c r="K20" s="60">
        <f>K21+K22+K23+K24+K25+K26+K27+K28+K29</f>
        <v>5.366999999999999</v>
      </c>
      <c r="L20" s="371">
        <f t="shared" si="1"/>
        <v>47.491</v>
      </c>
      <c r="M20" s="60">
        <f>M21+M22+M23+M24+M25+M26+M27+M28+M29</f>
        <v>5.45</v>
      </c>
      <c r="N20" s="375">
        <f>N21+N22+N23+N24+N25+N26+N27+N28+N29</f>
        <v>14.66</v>
      </c>
      <c r="O20" s="60">
        <f>O21+O22+O23+O24+O25+O26+O27+O28+O29</f>
        <v>21.224999999999998</v>
      </c>
      <c r="P20" s="60">
        <f>P21+P22+P23+P24+P25+P26+P27+P28+P29</f>
        <v>6.179</v>
      </c>
      <c r="Q20" s="371">
        <f t="shared" si="2"/>
        <v>47.513999999999996</v>
      </c>
      <c r="R20" s="60">
        <f>R21+R22+R23+R24+R25+R26+R27+R28+R29</f>
        <v>4.883</v>
      </c>
      <c r="S20" s="375">
        <f>S21+S22+S23+S24+S25+S26+S27+S28+S29</f>
        <v>14.462</v>
      </c>
      <c r="T20" s="60">
        <f>T21+T22+T23+T24+T25+T26+T27+T28+T29</f>
        <v>21.144</v>
      </c>
      <c r="U20" s="60">
        <f>U21+U22+U23+U24+U25+U26+U27+U28+U29</f>
        <v>4.914999999999999</v>
      </c>
      <c r="V20" s="371">
        <f t="shared" si="3"/>
        <v>45.404</v>
      </c>
    </row>
    <row r="21" spans="1:22" s="94" customFormat="1" ht="19.5" customHeight="1">
      <c r="A21" s="10"/>
      <c r="B21" s="10" t="s">
        <v>35</v>
      </c>
      <c r="C21" s="314">
        <v>2.78</v>
      </c>
      <c r="D21" s="314">
        <v>2.7</v>
      </c>
      <c r="E21" s="376">
        <v>2.725</v>
      </c>
      <c r="F21" s="314">
        <v>2.819</v>
      </c>
      <c r="G21" s="377">
        <f t="shared" si="0"/>
        <v>11.024</v>
      </c>
      <c r="H21" s="314">
        <v>3.307</v>
      </c>
      <c r="I21" s="314">
        <v>2.257</v>
      </c>
      <c r="J21" s="376">
        <v>3.451</v>
      </c>
      <c r="K21" s="314">
        <v>2.027</v>
      </c>
      <c r="L21" s="377">
        <f t="shared" si="1"/>
        <v>11.042</v>
      </c>
      <c r="M21" s="314">
        <v>2.78</v>
      </c>
      <c r="N21" s="314">
        <v>2.7</v>
      </c>
      <c r="O21" s="376">
        <v>2.725</v>
      </c>
      <c r="P21" s="314">
        <v>2.819</v>
      </c>
      <c r="Q21" s="377">
        <f t="shared" si="2"/>
        <v>11.024</v>
      </c>
      <c r="R21" s="314">
        <v>2.533</v>
      </c>
      <c r="S21" s="314">
        <v>1.987</v>
      </c>
      <c r="T21" s="376">
        <v>3.271</v>
      </c>
      <c r="U21" s="314">
        <v>1.575</v>
      </c>
      <c r="V21" s="377">
        <f t="shared" si="3"/>
        <v>9.366</v>
      </c>
    </row>
    <row r="22" spans="1:22" s="94" customFormat="1" ht="19.5" customHeight="1">
      <c r="A22" s="10"/>
      <c r="B22" s="10" t="s">
        <v>121</v>
      </c>
      <c r="C22" s="8">
        <v>0</v>
      </c>
      <c r="D22" s="8">
        <f>0.3+0.5+0.3+0.4</f>
        <v>1.5</v>
      </c>
      <c r="E22" s="376">
        <f>1.5+0.62</f>
        <v>2.12</v>
      </c>
      <c r="F22" s="8"/>
      <c r="G22" s="377">
        <f t="shared" si="0"/>
        <v>3.62</v>
      </c>
      <c r="H22" s="8">
        <v>0</v>
      </c>
      <c r="I22" s="8">
        <f>0.32+0.5+0.3+0.4</f>
        <v>1.52</v>
      </c>
      <c r="J22" s="376">
        <v>2</v>
      </c>
      <c r="K22" s="8"/>
      <c r="L22" s="377">
        <f t="shared" si="1"/>
        <v>3.52</v>
      </c>
      <c r="M22" s="8">
        <v>0</v>
      </c>
      <c r="N22" s="8">
        <f>0.3+0.5+0.3+0.4</f>
        <v>1.5</v>
      </c>
      <c r="O22" s="376">
        <f>1.5+0.62</f>
        <v>2.12</v>
      </c>
      <c r="P22" s="8"/>
      <c r="Q22" s="377">
        <f t="shared" si="2"/>
        <v>3.62</v>
      </c>
      <c r="R22" s="8">
        <v>0</v>
      </c>
      <c r="S22" s="8">
        <f>0.29+0.455+0.4+0.3</f>
        <v>1.445</v>
      </c>
      <c r="T22" s="376">
        <v>1.94</v>
      </c>
      <c r="U22" s="8"/>
      <c r="V22" s="377">
        <f t="shared" si="3"/>
        <v>3.385</v>
      </c>
    </row>
    <row r="23" spans="1:22" s="94" customFormat="1" ht="19.5" customHeight="1">
      <c r="A23" s="10"/>
      <c r="B23" s="10" t="s">
        <v>1005</v>
      </c>
      <c r="C23" s="8">
        <v>0</v>
      </c>
      <c r="D23" s="8">
        <v>0</v>
      </c>
      <c r="E23" s="376">
        <v>0.96</v>
      </c>
      <c r="F23" s="8"/>
      <c r="G23" s="377">
        <f t="shared" si="0"/>
        <v>0.96</v>
      </c>
      <c r="H23" s="8">
        <v>0</v>
      </c>
      <c r="I23" s="8">
        <v>0</v>
      </c>
      <c r="J23" s="376">
        <v>1.191</v>
      </c>
      <c r="K23" s="8"/>
      <c r="L23" s="377">
        <f t="shared" si="1"/>
        <v>1.191</v>
      </c>
      <c r="M23" s="8">
        <v>0</v>
      </c>
      <c r="N23" s="8">
        <v>0</v>
      </c>
      <c r="O23" s="376">
        <v>0.96</v>
      </c>
      <c r="P23" s="8"/>
      <c r="Q23" s="377">
        <f t="shared" si="2"/>
        <v>0.96</v>
      </c>
      <c r="R23" s="8">
        <v>0</v>
      </c>
      <c r="S23" s="8">
        <v>0</v>
      </c>
      <c r="T23" s="376">
        <v>1.195</v>
      </c>
      <c r="U23" s="8"/>
      <c r="V23" s="377">
        <f t="shared" si="3"/>
        <v>1.195</v>
      </c>
    </row>
    <row r="24" spans="1:22" s="94" customFormat="1" ht="19.5" customHeight="1">
      <c r="A24" s="10"/>
      <c r="B24" s="10" t="s">
        <v>47</v>
      </c>
      <c r="C24" s="8">
        <v>0</v>
      </c>
      <c r="D24" s="8">
        <f>0.51+0.25+0+0.96</f>
        <v>1.72</v>
      </c>
      <c r="E24" s="376">
        <f>3.31+2.27</f>
        <v>5.58</v>
      </c>
      <c r="F24" s="8">
        <v>0.68</v>
      </c>
      <c r="G24" s="377">
        <f t="shared" si="0"/>
        <v>7.9799999999999995</v>
      </c>
      <c r="H24" s="8">
        <v>0</v>
      </c>
      <c r="I24" s="8">
        <f>0.51+0.25+0.4+0.96</f>
        <v>2.12</v>
      </c>
      <c r="J24" s="376">
        <v>4.86</v>
      </c>
      <c r="K24" s="8">
        <v>0.675</v>
      </c>
      <c r="L24" s="377">
        <f t="shared" si="1"/>
        <v>7.655</v>
      </c>
      <c r="M24" s="8">
        <v>0</v>
      </c>
      <c r="N24" s="8">
        <f>0.51+0.25+0+0.96</f>
        <v>1.72</v>
      </c>
      <c r="O24" s="376">
        <f>3.31+2.27</f>
        <v>5.58</v>
      </c>
      <c r="P24" s="8">
        <v>0.68</v>
      </c>
      <c r="Q24" s="377">
        <f t="shared" si="2"/>
        <v>7.9799999999999995</v>
      </c>
      <c r="R24" s="8">
        <v>0</v>
      </c>
      <c r="S24" s="8">
        <f>0.51+0.25+0.4+0.96</f>
        <v>2.12</v>
      </c>
      <c r="T24" s="376">
        <v>4.86</v>
      </c>
      <c r="U24" s="8">
        <v>0.675</v>
      </c>
      <c r="V24" s="377">
        <f t="shared" si="3"/>
        <v>7.655</v>
      </c>
    </row>
    <row r="25" spans="1:22" s="94" customFormat="1" ht="19.5" customHeight="1">
      <c r="A25" s="10"/>
      <c r="B25" s="10" t="s">
        <v>145</v>
      </c>
      <c r="C25" s="8">
        <v>0.7</v>
      </c>
      <c r="D25" s="8">
        <f>1.05</f>
        <v>1.05</v>
      </c>
      <c r="E25" s="376">
        <f>0.75+0.72</f>
        <v>1.47</v>
      </c>
      <c r="F25" s="8"/>
      <c r="G25" s="377">
        <f t="shared" si="0"/>
        <v>3.2199999999999998</v>
      </c>
      <c r="H25" s="8">
        <v>0.7</v>
      </c>
      <c r="I25" s="8">
        <f>1.05</f>
        <v>1.05</v>
      </c>
      <c r="J25" s="376">
        <v>1.47</v>
      </c>
      <c r="K25" s="8"/>
      <c r="L25" s="377">
        <f t="shared" si="1"/>
        <v>3.2199999999999998</v>
      </c>
      <c r="M25" s="8">
        <v>0.7</v>
      </c>
      <c r="N25" s="8">
        <f>1.05</f>
        <v>1.05</v>
      </c>
      <c r="O25" s="376">
        <f>0.75+0.72</f>
        <v>1.47</v>
      </c>
      <c r="P25" s="8"/>
      <c r="Q25" s="377">
        <f t="shared" si="2"/>
        <v>3.2199999999999998</v>
      </c>
      <c r="R25" s="8">
        <v>0.7</v>
      </c>
      <c r="S25" s="8">
        <f>1.05</f>
        <v>1.05</v>
      </c>
      <c r="T25" s="376">
        <v>1.43</v>
      </c>
      <c r="U25" s="8"/>
      <c r="V25" s="377">
        <f t="shared" si="3"/>
        <v>3.1799999999999997</v>
      </c>
    </row>
    <row r="26" spans="1:22" s="94" customFormat="1" ht="19.5" customHeight="1">
      <c r="A26" s="10"/>
      <c r="B26" s="10" t="s">
        <v>150</v>
      </c>
      <c r="C26" s="8">
        <v>0</v>
      </c>
      <c r="D26" s="8">
        <f>0.85+0.83+0.9</f>
        <v>2.58</v>
      </c>
      <c r="E26" s="376">
        <f>0.95+0.83</f>
        <v>1.7800000000000002</v>
      </c>
      <c r="F26" s="8"/>
      <c r="G26" s="377">
        <f t="shared" si="0"/>
        <v>4.36</v>
      </c>
      <c r="H26" s="8">
        <v>0</v>
      </c>
      <c r="I26" s="8">
        <f>0.85+0.83+0.9</f>
        <v>2.58</v>
      </c>
      <c r="J26" s="376">
        <f>1.78</f>
        <v>1.78</v>
      </c>
      <c r="K26" s="8"/>
      <c r="L26" s="377">
        <f t="shared" si="1"/>
        <v>4.36</v>
      </c>
      <c r="M26" s="8">
        <v>0</v>
      </c>
      <c r="N26" s="8">
        <f>0.85+0.83+0.9</f>
        <v>2.58</v>
      </c>
      <c r="O26" s="376">
        <f>0.95+0.83</f>
        <v>1.7800000000000002</v>
      </c>
      <c r="P26" s="8"/>
      <c r="Q26" s="377">
        <f t="shared" si="2"/>
        <v>4.36</v>
      </c>
      <c r="R26" s="8">
        <v>0</v>
      </c>
      <c r="S26" s="8">
        <f>0.85+0.83+0.9</f>
        <v>2.58</v>
      </c>
      <c r="T26" s="376">
        <v>1.78</v>
      </c>
      <c r="U26" s="8"/>
      <c r="V26" s="377">
        <f t="shared" si="3"/>
        <v>4.36</v>
      </c>
    </row>
    <row r="27" spans="1:22" s="94" customFormat="1" ht="19.5" customHeight="1">
      <c r="A27" s="10"/>
      <c r="B27" s="10" t="s">
        <v>1006</v>
      </c>
      <c r="C27" s="8">
        <v>0</v>
      </c>
      <c r="D27" s="8">
        <f>0+0+0.25+0+0.7+1</f>
        <v>1.9500000000000002</v>
      </c>
      <c r="E27" s="376">
        <f>2.05+0.55</f>
        <v>2.5999999999999996</v>
      </c>
      <c r="F27" s="8">
        <f>0.82+0.35</f>
        <v>1.1700000000000002</v>
      </c>
      <c r="G27" s="377">
        <f t="shared" si="0"/>
        <v>5.72</v>
      </c>
      <c r="H27" s="8">
        <v>0</v>
      </c>
      <c r="I27" s="23">
        <f>0.485+0.35+0.3+0.145+0.9</f>
        <v>2.18</v>
      </c>
      <c r="J27" s="376">
        <v>2.35</v>
      </c>
      <c r="K27" s="8">
        <f>0.35+0.82</f>
        <v>1.1700000000000002</v>
      </c>
      <c r="L27" s="377">
        <f t="shared" si="1"/>
        <v>5.700000000000001</v>
      </c>
      <c r="M27" s="8">
        <v>0</v>
      </c>
      <c r="N27" s="8">
        <f>0+0+0.25+0+0.7+1</f>
        <v>1.9500000000000002</v>
      </c>
      <c r="O27" s="376">
        <f>2.05+0.55</f>
        <v>2.5999999999999996</v>
      </c>
      <c r="P27" s="8">
        <v>1.17</v>
      </c>
      <c r="Q27" s="377">
        <f t="shared" si="2"/>
        <v>5.72</v>
      </c>
      <c r="R27" s="8">
        <v>0</v>
      </c>
      <c r="S27" s="23">
        <f>0.485+0.35+0.3+0.145+0.9</f>
        <v>2.18</v>
      </c>
      <c r="T27" s="376">
        <v>2.35</v>
      </c>
      <c r="U27" s="8">
        <v>1.17</v>
      </c>
      <c r="V27" s="377">
        <f t="shared" si="3"/>
        <v>5.7</v>
      </c>
    </row>
    <row r="28" spans="1:22" s="94" customFormat="1" ht="19.5" customHeight="1">
      <c r="A28" s="10"/>
      <c r="B28" s="10" t="s">
        <v>162</v>
      </c>
      <c r="C28" s="8">
        <f>0.87+0.4</f>
        <v>1.27</v>
      </c>
      <c r="D28" s="8">
        <f>0.25+0.75+0.72</f>
        <v>1.72</v>
      </c>
      <c r="E28" s="376">
        <v>1.79</v>
      </c>
      <c r="F28" s="8">
        <v>0.6000000000000001</v>
      </c>
      <c r="G28" s="377">
        <f t="shared" si="0"/>
        <v>5.380000000000001</v>
      </c>
      <c r="H28" s="8">
        <v>1.11</v>
      </c>
      <c r="I28" s="23">
        <f>0.364+0.136+0.5+0.72</f>
        <v>1.72</v>
      </c>
      <c r="J28" s="376">
        <v>1.95</v>
      </c>
      <c r="K28" s="8">
        <v>0.6000000000000001</v>
      </c>
      <c r="L28" s="377">
        <f t="shared" si="1"/>
        <v>5.38</v>
      </c>
      <c r="M28" s="8">
        <f>0.87+0.4</f>
        <v>1.27</v>
      </c>
      <c r="N28" s="8">
        <f>0.25+0.75+0.72</f>
        <v>1.72</v>
      </c>
      <c r="O28" s="376">
        <v>1.79</v>
      </c>
      <c r="P28" s="8">
        <v>0.6000000000000001</v>
      </c>
      <c r="Q28" s="377">
        <f t="shared" si="2"/>
        <v>5.380000000000001</v>
      </c>
      <c r="R28" s="8">
        <v>0.87</v>
      </c>
      <c r="S28" s="23">
        <f>0.364+0.136+0.5+0.72</f>
        <v>1.72</v>
      </c>
      <c r="T28" s="376">
        <v>1.95</v>
      </c>
      <c r="U28" s="8">
        <v>0.6000000000000001</v>
      </c>
      <c r="V28" s="377">
        <f t="shared" si="3"/>
        <v>5.14</v>
      </c>
    </row>
    <row r="29" spans="1:22" s="94" customFormat="1" ht="19.5" customHeight="1">
      <c r="A29" s="10"/>
      <c r="B29" s="10" t="s">
        <v>169</v>
      </c>
      <c r="C29" s="8">
        <v>0.7</v>
      </c>
      <c r="D29" s="8">
        <f>0.6+0+0.84</f>
        <v>1.44</v>
      </c>
      <c r="E29" s="376">
        <f>1.2+1</f>
        <v>2.2</v>
      </c>
      <c r="F29" s="8">
        <f>0.85+0.06</f>
        <v>0.9099999999999999</v>
      </c>
      <c r="G29" s="377">
        <f t="shared" si="0"/>
        <v>5.250000000000001</v>
      </c>
      <c r="H29" s="8">
        <v>0.78</v>
      </c>
      <c r="I29" s="8">
        <f>0.75+0.63</f>
        <v>1.38</v>
      </c>
      <c r="J29" s="376">
        <v>2.368</v>
      </c>
      <c r="K29" s="8">
        <f>0.835+0.06</f>
        <v>0.895</v>
      </c>
      <c r="L29" s="377">
        <f t="shared" si="1"/>
        <v>5.423</v>
      </c>
      <c r="M29" s="8">
        <v>0.7</v>
      </c>
      <c r="N29" s="8">
        <f>0.6+0+0.84</f>
        <v>1.44</v>
      </c>
      <c r="O29" s="376">
        <f>1.2+1</f>
        <v>2.2</v>
      </c>
      <c r="P29" s="8">
        <f>0.85+0.06</f>
        <v>0.9099999999999999</v>
      </c>
      <c r="Q29" s="377">
        <f t="shared" si="2"/>
        <v>5.250000000000001</v>
      </c>
      <c r="R29" s="8">
        <v>0.78</v>
      </c>
      <c r="S29" s="8">
        <f>0.75+0.63</f>
        <v>1.38</v>
      </c>
      <c r="T29" s="376">
        <v>2.368</v>
      </c>
      <c r="U29" s="8">
        <v>0.895</v>
      </c>
      <c r="V29" s="377">
        <f t="shared" si="3"/>
        <v>5.423</v>
      </c>
    </row>
    <row r="30" spans="1:22" s="94" customFormat="1" ht="15.75" customHeight="1">
      <c r="A30" s="368" t="s">
        <v>326</v>
      </c>
      <c r="B30" s="368" t="s">
        <v>858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36" ht="28.5" customHeight="1">
      <c r="A31" s="369" t="s">
        <v>328</v>
      </c>
      <c r="B31" s="374" t="s">
        <v>410</v>
      </c>
      <c r="C31" s="3">
        <v>0</v>
      </c>
      <c r="D31" s="3"/>
      <c r="E31" s="3"/>
      <c r="F31" s="3"/>
      <c r="G31" s="3"/>
      <c r="H31" s="3">
        <f>SUM(H32:H40)</f>
        <v>0.6859999999999999</v>
      </c>
      <c r="I31" s="3">
        <f>SUM(I32:I40)</f>
        <v>0.516</v>
      </c>
      <c r="J31" s="3">
        <f>SUM(J32:J40)</f>
        <v>2.739</v>
      </c>
      <c r="K31" s="3">
        <f>SUM(K41:K44)</f>
        <v>0.9780000000000001</v>
      </c>
      <c r="L31" s="378">
        <f>H31+I31+J31+K31</f>
        <v>4.919</v>
      </c>
      <c r="M31" s="3">
        <v>0</v>
      </c>
      <c r="N31" s="3"/>
      <c r="O31" s="3"/>
      <c r="P31" s="3"/>
      <c r="Q31" s="3"/>
      <c r="R31" s="3">
        <v>0.6859999999999999</v>
      </c>
      <c r="S31" s="3">
        <v>0.516</v>
      </c>
      <c r="T31" s="3">
        <v>2.739</v>
      </c>
      <c r="U31" s="3">
        <f>SUM(U41:U44)</f>
        <v>0.9780000000000001</v>
      </c>
      <c r="V31" s="378">
        <f>R31+S31+T31+U31</f>
        <v>4.919</v>
      </c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</row>
    <row r="32" spans="1:22" ht="31.5" customHeight="1">
      <c r="A32" s="379"/>
      <c r="B32" s="13" t="s">
        <v>863</v>
      </c>
      <c r="C32" s="110">
        <v>0</v>
      </c>
      <c r="D32" s="110"/>
      <c r="E32" s="110"/>
      <c r="F32" s="110"/>
      <c r="G32" s="110"/>
      <c r="H32" s="380">
        <v>0.306</v>
      </c>
      <c r="I32" s="380"/>
      <c r="J32" s="70"/>
      <c r="K32" s="70"/>
      <c r="L32" s="381">
        <v>0.306</v>
      </c>
      <c r="M32" s="110"/>
      <c r="N32" s="110"/>
      <c r="O32" s="110"/>
      <c r="P32" s="110"/>
      <c r="Q32" s="110"/>
      <c r="R32" s="380">
        <v>0.306</v>
      </c>
      <c r="S32" s="380"/>
      <c r="T32" s="70"/>
      <c r="U32" s="70"/>
      <c r="V32" s="381">
        <v>0.306</v>
      </c>
    </row>
    <row r="33" spans="1:22" ht="31.5" customHeight="1">
      <c r="A33" s="379"/>
      <c r="B33" s="13" t="s">
        <v>869</v>
      </c>
      <c r="C33" s="110"/>
      <c r="D33" s="110"/>
      <c r="E33" s="110"/>
      <c r="F33" s="110"/>
      <c r="G33" s="110"/>
      <c r="H33" s="380">
        <v>0.38</v>
      </c>
      <c r="I33" s="380"/>
      <c r="J33" s="70"/>
      <c r="K33" s="70"/>
      <c r="L33" s="381">
        <v>0.38</v>
      </c>
      <c r="M33" s="110"/>
      <c r="N33" s="110"/>
      <c r="O33" s="110"/>
      <c r="P33" s="110"/>
      <c r="Q33" s="110"/>
      <c r="R33" s="380">
        <v>0.38</v>
      </c>
      <c r="S33" s="380"/>
      <c r="T33" s="70"/>
      <c r="U33" s="70"/>
      <c r="V33" s="381">
        <v>0.38</v>
      </c>
    </row>
    <row r="34" spans="1:22" ht="31.5" customHeight="1">
      <c r="A34" s="379"/>
      <c r="B34" s="13" t="s">
        <v>872</v>
      </c>
      <c r="C34" s="110"/>
      <c r="D34" s="110"/>
      <c r="E34" s="110"/>
      <c r="F34" s="110"/>
      <c r="G34" s="110"/>
      <c r="H34" s="380"/>
      <c r="I34" s="380">
        <v>0.297</v>
      </c>
      <c r="J34" s="70"/>
      <c r="K34" s="70"/>
      <c r="L34" s="381">
        <v>0.297</v>
      </c>
      <c r="M34" s="110"/>
      <c r="N34" s="110"/>
      <c r="O34" s="110"/>
      <c r="P34" s="110"/>
      <c r="Q34" s="110"/>
      <c r="R34" s="380"/>
      <c r="S34" s="380">
        <v>0.297</v>
      </c>
      <c r="T34" s="70"/>
      <c r="U34" s="70"/>
      <c r="V34" s="381">
        <v>0.297</v>
      </c>
    </row>
    <row r="35" spans="1:22" ht="31.5" customHeight="1">
      <c r="A35" s="379"/>
      <c r="B35" s="13" t="s">
        <v>975</v>
      </c>
      <c r="C35" s="110"/>
      <c r="D35" s="110"/>
      <c r="E35" s="110"/>
      <c r="F35" s="110"/>
      <c r="G35" s="110"/>
      <c r="H35" s="380"/>
      <c r="I35" s="380">
        <v>0.219</v>
      </c>
      <c r="J35" s="70"/>
      <c r="K35" s="70"/>
      <c r="L35" s="381">
        <v>0.219</v>
      </c>
      <c r="M35" s="110"/>
      <c r="N35" s="110"/>
      <c r="O35" s="110"/>
      <c r="P35" s="110"/>
      <c r="Q35" s="110"/>
      <c r="R35" s="380"/>
      <c r="S35" s="380">
        <v>0.219</v>
      </c>
      <c r="T35" s="70"/>
      <c r="U35" s="70"/>
      <c r="V35" s="381">
        <v>0.219</v>
      </c>
    </row>
    <row r="36" spans="1:22" ht="31.5" customHeight="1">
      <c r="A36" s="379"/>
      <c r="B36" s="13" t="s">
        <v>874</v>
      </c>
      <c r="C36" s="110"/>
      <c r="D36" s="110"/>
      <c r="E36" s="110"/>
      <c r="F36" s="110"/>
      <c r="G36" s="110"/>
      <c r="H36" s="380"/>
      <c r="I36" s="380"/>
      <c r="J36" s="380">
        <v>0.738</v>
      </c>
      <c r="K36" s="70"/>
      <c r="L36" s="381">
        <v>0.738</v>
      </c>
      <c r="M36" s="110"/>
      <c r="N36" s="110"/>
      <c r="O36" s="110"/>
      <c r="P36" s="110"/>
      <c r="Q36" s="110"/>
      <c r="R36" s="380"/>
      <c r="S36" s="380"/>
      <c r="T36" s="380">
        <v>0.738</v>
      </c>
      <c r="U36" s="70"/>
      <c r="V36" s="381">
        <v>0.738</v>
      </c>
    </row>
    <row r="37" spans="1:22" ht="31.5" customHeight="1">
      <c r="A37" s="379"/>
      <c r="B37" s="13" t="s">
        <v>876</v>
      </c>
      <c r="C37" s="110"/>
      <c r="D37" s="110"/>
      <c r="E37" s="110"/>
      <c r="F37" s="110"/>
      <c r="G37" s="110"/>
      <c r="H37" s="380"/>
      <c r="I37" s="380"/>
      <c r="J37" s="380">
        <v>0.635</v>
      </c>
      <c r="K37" s="70"/>
      <c r="L37" s="381">
        <v>0.635</v>
      </c>
      <c r="M37" s="110"/>
      <c r="N37" s="110"/>
      <c r="O37" s="110"/>
      <c r="P37" s="110"/>
      <c r="Q37" s="110"/>
      <c r="R37" s="380"/>
      <c r="S37" s="380"/>
      <c r="T37" s="380">
        <v>0.635</v>
      </c>
      <c r="U37" s="70"/>
      <c r="V37" s="381">
        <v>0.635</v>
      </c>
    </row>
    <row r="38" spans="1:22" ht="15.75" customHeight="1">
      <c r="A38" s="379"/>
      <c r="B38" s="13" t="s">
        <v>878</v>
      </c>
      <c r="C38" s="110"/>
      <c r="D38" s="110"/>
      <c r="E38" s="110"/>
      <c r="F38" s="110"/>
      <c r="G38" s="110"/>
      <c r="H38" s="380"/>
      <c r="I38" s="380"/>
      <c r="J38" s="380">
        <v>0.581</v>
      </c>
      <c r="K38" s="70"/>
      <c r="L38" s="381">
        <v>0.581</v>
      </c>
      <c r="M38" s="110"/>
      <c r="N38" s="110"/>
      <c r="O38" s="110"/>
      <c r="P38" s="110"/>
      <c r="Q38" s="110"/>
      <c r="R38" s="380"/>
      <c r="S38" s="380"/>
      <c r="T38" s="380">
        <v>0.581</v>
      </c>
      <c r="U38" s="70"/>
      <c r="V38" s="381">
        <v>0.581</v>
      </c>
    </row>
    <row r="39" spans="1:22" ht="31.5" customHeight="1">
      <c r="A39" s="379"/>
      <c r="B39" s="13" t="s">
        <v>880</v>
      </c>
      <c r="C39" s="110"/>
      <c r="D39" s="110"/>
      <c r="E39" s="110"/>
      <c r="F39" s="110"/>
      <c r="G39" s="110"/>
      <c r="H39" s="380"/>
      <c r="I39" s="380"/>
      <c r="J39" s="380">
        <v>0.5670000000000001</v>
      </c>
      <c r="K39" s="70"/>
      <c r="L39" s="381">
        <v>0.5670000000000001</v>
      </c>
      <c r="M39" s="110"/>
      <c r="N39" s="110"/>
      <c r="O39" s="110"/>
      <c r="P39" s="110"/>
      <c r="Q39" s="110"/>
      <c r="R39" s="380"/>
      <c r="S39" s="380"/>
      <c r="T39" s="380">
        <v>0.5670000000000001</v>
      </c>
      <c r="U39" s="70"/>
      <c r="V39" s="381">
        <v>0.5670000000000001</v>
      </c>
    </row>
    <row r="40" spans="1:22" ht="31.5" customHeight="1">
      <c r="A40" s="379"/>
      <c r="B40" s="13" t="s">
        <v>882</v>
      </c>
      <c r="C40" s="110"/>
      <c r="D40" s="110"/>
      <c r="E40" s="110"/>
      <c r="F40" s="110"/>
      <c r="G40" s="110"/>
      <c r="H40" s="380"/>
      <c r="I40" s="380"/>
      <c r="J40" s="380">
        <v>0.218</v>
      </c>
      <c r="K40" s="70"/>
      <c r="L40" s="381">
        <v>0.218</v>
      </c>
      <c r="M40" s="110"/>
      <c r="N40" s="110"/>
      <c r="O40" s="110"/>
      <c r="P40" s="110"/>
      <c r="Q40" s="110"/>
      <c r="R40" s="380"/>
      <c r="S40" s="380"/>
      <c r="T40" s="380">
        <v>0.218</v>
      </c>
      <c r="U40" s="70"/>
      <c r="V40" s="381">
        <v>0.218</v>
      </c>
    </row>
    <row r="41" spans="1:22" ht="31.5" customHeight="1">
      <c r="A41" s="379"/>
      <c r="B41" s="13" t="s">
        <v>884</v>
      </c>
      <c r="C41" s="110"/>
      <c r="D41" s="110"/>
      <c r="E41" s="110"/>
      <c r="F41" s="110"/>
      <c r="G41" s="110"/>
      <c r="H41" s="380"/>
      <c r="I41" s="380"/>
      <c r="J41" s="380"/>
      <c r="K41" s="380">
        <v>0.276</v>
      </c>
      <c r="L41" s="381">
        <v>0.276</v>
      </c>
      <c r="M41" s="110"/>
      <c r="N41" s="110"/>
      <c r="O41" s="110"/>
      <c r="P41" s="110"/>
      <c r="Q41" s="110"/>
      <c r="R41" s="380"/>
      <c r="S41" s="380"/>
      <c r="T41" s="380"/>
      <c r="U41" s="380">
        <v>0.276</v>
      </c>
      <c r="V41" s="381">
        <v>0.276</v>
      </c>
    </row>
    <row r="42" spans="1:22" ht="31.5" customHeight="1">
      <c r="A42" s="379"/>
      <c r="B42" s="331" t="s">
        <v>886</v>
      </c>
      <c r="C42" s="110"/>
      <c r="D42" s="110"/>
      <c r="E42" s="110"/>
      <c r="F42" s="110"/>
      <c r="G42" s="110"/>
      <c r="H42" s="380"/>
      <c r="I42" s="380"/>
      <c r="J42" s="380"/>
      <c r="K42" s="380">
        <v>0.232</v>
      </c>
      <c r="L42" s="381">
        <v>0.232</v>
      </c>
      <c r="M42" s="110"/>
      <c r="N42" s="110"/>
      <c r="O42" s="110"/>
      <c r="P42" s="110"/>
      <c r="Q42" s="110"/>
      <c r="R42" s="380"/>
      <c r="S42" s="380"/>
      <c r="T42" s="380"/>
      <c r="U42" s="380">
        <v>0.232</v>
      </c>
      <c r="V42" s="381">
        <v>0.232</v>
      </c>
    </row>
    <row r="43" spans="1:22" ht="31.5" customHeight="1">
      <c r="A43" s="379"/>
      <c r="B43" s="331" t="s">
        <v>888</v>
      </c>
      <c r="C43" s="110"/>
      <c r="D43" s="110"/>
      <c r="E43" s="110"/>
      <c r="F43" s="110"/>
      <c r="G43" s="110"/>
      <c r="H43" s="380"/>
      <c r="I43" s="380"/>
      <c r="J43" s="380"/>
      <c r="K43" s="380">
        <v>0.335</v>
      </c>
      <c r="L43" s="381">
        <v>0.335</v>
      </c>
      <c r="M43" s="110"/>
      <c r="N43" s="110"/>
      <c r="O43" s="110"/>
      <c r="P43" s="110"/>
      <c r="Q43" s="110"/>
      <c r="R43" s="380"/>
      <c r="S43" s="380"/>
      <c r="T43" s="380"/>
      <c r="U43" s="380">
        <v>0.335</v>
      </c>
      <c r="V43" s="381">
        <v>0.335</v>
      </c>
    </row>
    <row r="44" spans="1:22" ht="31.5" customHeight="1">
      <c r="A44" s="379"/>
      <c r="B44" s="331" t="s">
        <v>890</v>
      </c>
      <c r="C44" s="110"/>
      <c r="D44" s="110"/>
      <c r="E44" s="110"/>
      <c r="F44" s="110"/>
      <c r="G44" s="110"/>
      <c r="H44" s="380"/>
      <c r="I44" s="380"/>
      <c r="J44" s="380"/>
      <c r="K44" s="380">
        <v>0.135</v>
      </c>
      <c r="L44" s="381">
        <v>0.135</v>
      </c>
      <c r="M44" s="110"/>
      <c r="N44" s="110"/>
      <c r="O44" s="110"/>
      <c r="P44" s="110"/>
      <c r="Q44" s="110"/>
      <c r="R44" s="380"/>
      <c r="S44" s="380"/>
      <c r="T44" s="380"/>
      <c r="U44" s="380">
        <v>0.135</v>
      </c>
      <c r="V44" s="381">
        <v>0.135</v>
      </c>
    </row>
    <row r="46" spans="2:16" ht="40.5" customHeight="1">
      <c r="B46" s="280" t="s">
        <v>893</v>
      </c>
      <c r="C46" s="280"/>
      <c r="D46" s="280"/>
      <c r="E46" s="280"/>
      <c r="F46" s="280"/>
      <c r="G46" s="280"/>
      <c r="H46" s="280"/>
      <c r="J46" s="280"/>
      <c r="L46" s="133"/>
      <c r="M46" s="133"/>
      <c r="N46" s="133"/>
      <c r="O46" s="133"/>
      <c r="P46" s="280" t="s">
        <v>894</v>
      </c>
    </row>
  </sheetData>
  <sheetProtection selectLockedCells="1" selectUnlockedCells="1"/>
  <mergeCells count="13">
    <mergeCell ref="A1:V1"/>
    <mergeCell ref="A10:A13"/>
    <mergeCell ref="B10:B13"/>
    <mergeCell ref="C10:L10"/>
    <mergeCell ref="M10:V10"/>
    <mergeCell ref="C11:G11"/>
    <mergeCell ref="H11:L11"/>
    <mergeCell ref="M11:Q11"/>
    <mergeCell ref="R11:V11"/>
    <mergeCell ref="C12:G12"/>
    <mergeCell ref="H12:L12"/>
    <mergeCell ref="M12:Q12"/>
    <mergeCell ref="R12:V12"/>
  </mergeCells>
  <printOptions/>
  <pageMargins left="0.5798611111111112" right="0.425" top="0.7" bottom="0.39791666666666664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econ3</cp:lastModifiedBy>
  <dcterms:modified xsi:type="dcterms:W3CDTF">2012-02-16T10:06:03Z</dcterms:modified>
  <cp:category/>
  <cp:version/>
  <cp:contentType/>
  <cp:contentStatus/>
</cp:coreProperties>
</file>