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tabRatio="809" activeTab="26"/>
  </bookViews>
  <sheets>
    <sheet name="содержание" sheetId="1" r:id="rId1"/>
    <sheet name="приложение 1.1 с НДС" sheetId="2" r:id="rId2"/>
    <sheet name="приложение 1.1 без НДС " sheetId="3" r:id="rId3"/>
    <sheet name="приложение 1.2._2013 " sheetId="4" r:id="rId4"/>
    <sheet name="приложение 1.3" sheetId="5" r:id="rId5"/>
    <sheet name="приложение 1.4" sheetId="6" r:id="rId6"/>
    <sheet name="приложение 2.2" sheetId="7" r:id="rId7"/>
    <sheet name="приложение 2.3" sheetId="8" r:id="rId8"/>
    <sheet name="приложение 3.1" sheetId="9" r:id="rId9"/>
    <sheet name="приложение 3.2" sheetId="10" r:id="rId10"/>
    <sheet name="приложение 4.1" sheetId="11" r:id="rId11"/>
    <sheet name="приложение 4.2" sheetId="12" r:id="rId12"/>
    <sheet name="приложение 4.3" sheetId="13" r:id="rId13"/>
    <sheet name="приложение 5" sheetId="14" r:id="rId14"/>
    <sheet name="приложение 6.1" sheetId="15" r:id="rId15"/>
    <sheet name="приложение 6.2" sheetId="16" r:id="rId16"/>
    <sheet name="приложение 6.3" sheetId="17" r:id="rId17"/>
    <sheet name="приложение 7.1" sheetId="18" r:id="rId18"/>
    <sheet name="приложение 7.2" sheetId="19" r:id="rId19"/>
    <sheet name="приложение 8" sheetId="20" r:id="rId20"/>
    <sheet name="приложение 9" sheetId="21" r:id="rId21"/>
    <sheet name="приложение 10" sheetId="22" r:id="rId22"/>
    <sheet name="приложение 11.1" sheetId="23" r:id="rId23"/>
    <sheet name="приложение 11.2" sheetId="24" r:id="rId24"/>
    <sheet name="приложение 12" sheetId="25" r:id="rId25"/>
    <sheet name="приложение 13" sheetId="26" r:id="rId26"/>
    <sheet name="приложение 14" sheetId="27" r:id="rId27"/>
  </sheets>
  <externalReferences>
    <externalReference r:id="rId30"/>
  </externalReferences>
  <definedNames>
    <definedName name="Excel_BuiltIn_Print_Area_7" localSheetId="2">#REF!</definedName>
    <definedName name="Excel_BuiltIn_Print_Area_7" localSheetId="1">#REF!</definedName>
    <definedName name="Excel_BuiltIn_Print_Area_7">#REF!</definedName>
    <definedName name="Excel_BuiltIn_Print_Area_8">"$#ССЫЛ!.$A$1:$V$23"</definedName>
    <definedName name="_xlnm.Print_Area" localSheetId="2">'приложение 1.1 без НДС '!$A$1:$M$45</definedName>
    <definedName name="_xlnm.Print_Area" localSheetId="1">'приложение 1.1 с НДС'!$A$1:$M$45</definedName>
    <definedName name="_xlnm.Print_Area" localSheetId="11">'приложение 4.2'!$A$1:$F$42</definedName>
    <definedName name="_xlnm.Print_Area" localSheetId="14">'приложение 6.1'!$A$1:$M$59</definedName>
    <definedName name="_xlnm.Print_Area" localSheetId="15">'приложение 6.2'!$A$1:$E$50</definedName>
    <definedName name="_xlnm.Print_Area" localSheetId="16">'приложение 6.3'!$A$1:$J$28</definedName>
    <definedName name="_xlnm.Print_Area" localSheetId="0">'содержание'!$A$1:$F$27</definedName>
  </definedNames>
  <calcPr fullCalcOnLoad="1"/>
</workbook>
</file>

<file path=xl/comments4.xml><?xml version="1.0" encoding="utf-8"?>
<comments xmlns="http://schemas.openxmlformats.org/spreadsheetml/2006/main">
  <authors>
    <author>PTO-ElenaPerkova</author>
  </authors>
  <commentList>
    <comment ref="S91" authorId="0">
      <text>
        <r>
          <rPr>
            <b/>
            <sz val="9"/>
            <rFont val="Tahoma"/>
            <family val="2"/>
          </rPr>
          <t>PTO-ElenaPerkova:</t>
        </r>
        <r>
          <rPr>
            <sz val="9"/>
            <rFont val="Tahoma"/>
            <family val="2"/>
          </rPr>
          <t xml:space="preserve">
0,088
</t>
        </r>
      </text>
    </comment>
  </commentList>
</comments>
</file>

<file path=xl/sharedStrings.xml><?xml version="1.0" encoding="utf-8"?>
<sst xmlns="http://schemas.openxmlformats.org/spreadsheetml/2006/main" count="2853" uniqueCount="1113">
  <si>
    <t>БКТП</t>
  </si>
  <si>
    <t>КЛ 10 кВ</t>
  </si>
  <si>
    <t>КЛ 0,4 кВ</t>
  </si>
  <si>
    <t xml:space="preserve">АСБ-10       </t>
  </si>
  <si>
    <t xml:space="preserve">  АСБ-1</t>
  </si>
  <si>
    <t>Замена трансформаторов мощностью 630 кВА в ТП-3</t>
  </si>
  <si>
    <t>Замена трансформаторов мощностью  250кВА в ТП-1</t>
  </si>
  <si>
    <t>Замена трансформаторов мощностью 160кВА в ТП-45</t>
  </si>
  <si>
    <t>Замена трансформаторов мощностью 250кВА в ТП -4 п. Верховье</t>
  </si>
  <si>
    <t>Замена трансформаторов мощностью 630кВА в ТП -2 п. Змиевка</t>
  </si>
  <si>
    <t>Замена трансформаторов мощностью 180кВА в ТП -6 п.Нарышкино</t>
  </si>
  <si>
    <t>Замена трансформаторов мощностью 400кВА в ЗТП — 1  в с.Моховое</t>
  </si>
  <si>
    <t>Установка камер КСО-393 в ТП 871, 201, 640</t>
  </si>
  <si>
    <t>КСО-393 8 шт.</t>
  </si>
  <si>
    <t>КСО-298 4 шт.</t>
  </si>
  <si>
    <t>Панели ЩО-70 6шт</t>
  </si>
  <si>
    <t xml:space="preserve">Корпус </t>
  </si>
  <si>
    <t xml:space="preserve"> В РП-7 на ОЛ-75,76,77</t>
  </si>
  <si>
    <t xml:space="preserve"> В РП-10 на ОЛ-1018,1010</t>
  </si>
  <si>
    <t>МВ-2шт</t>
  </si>
  <si>
    <t>13шт</t>
  </si>
  <si>
    <t>2.1.2.</t>
  </si>
  <si>
    <t>Реконструкция сетей внешнего электроснабжения для строительства объектов электросетевого хозяйства</t>
  </si>
  <si>
    <t xml:space="preserve">ТМГ-1000    2 шт.  </t>
  </si>
  <si>
    <t>2х0,3</t>
  </si>
  <si>
    <t>Установка панели ЩО-70 в ТП-824</t>
  </si>
  <si>
    <t>12 компл</t>
  </si>
  <si>
    <t>12компл</t>
  </si>
  <si>
    <t>2 компл</t>
  </si>
  <si>
    <t>15 компл</t>
  </si>
  <si>
    <t>«___»________ 20____ года</t>
  </si>
  <si>
    <t>______________Перьков А..В.</t>
  </si>
  <si>
    <t xml:space="preserve">Генеральный директор </t>
  </si>
  <si>
    <t>1.1.6.1</t>
  </si>
  <si>
    <t>1.1.6.2</t>
  </si>
  <si>
    <t xml:space="preserve">Строительство новых ТП </t>
  </si>
  <si>
    <t>Реконструкция сетей</t>
  </si>
  <si>
    <t xml:space="preserve"> млн. руб.( без  НДС)</t>
  </si>
  <si>
    <t>Строительство ТП 6/0,4 кВ, КЛ 10 кВ по пер. Ипподромный для перераспределения существующих нагрузок, оптимизации потерь и улучшения качества электроэнергии</t>
  </si>
  <si>
    <t xml:space="preserve"> млн. руб.( с  НДС)</t>
  </si>
  <si>
    <t>Строительство ТП</t>
  </si>
  <si>
    <t>Реконструкция оборудования ТП</t>
  </si>
  <si>
    <t>ИТОГО строительство ТП:</t>
  </si>
  <si>
    <t>ИТОГО реконструкция оборудования:</t>
  </si>
  <si>
    <t>Реконструкция сетей внешнего электроснабжения для перераспределения существующих нагрузок, оптимизации потерь и улучщения качества электроэнергии</t>
  </si>
  <si>
    <t>Строительство ТП 6/0,4 кВ, КЛ 10 кВ в МР-6 для перераспределения существующих нагрузок, оптимизации потерь и улучшения качества электроэнергии</t>
  </si>
  <si>
    <t>Строительство  КЛ 0,4 кВ по ул.Грузовой для перераспределения существующих нагрузок, оптимизации потерь и улучшения качества электроэнергии</t>
  </si>
  <si>
    <t xml:space="preserve">Строительство  КЛ 0,4 кВ, реконструкция оборудования ТП по ул.Металлургов-Московское шоссе для перераспределения существующих нагрузок, оптимизации потерь и улучшения качества электроэнергии </t>
  </si>
  <si>
    <t>ИТОГО строительство КЛ:</t>
  </si>
  <si>
    <t xml:space="preserve">Строительство кабельных линий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</si>
  <si>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</si>
  <si>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Проектная документация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</si>
  <si>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</si>
  <si>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</si>
  <si>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документа**)</t>
  </si>
  <si>
    <t>Землеотвод</t>
  </si>
  <si>
    <t xml:space="preserve"> - наличие землеотвода (кем, когда утверждено, реквизиты документа)</t>
  </si>
  <si>
    <t>Исходно-разрешительная документация</t>
  </si>
  <si>
    <t xml:space="preserve"> - наличие разрешения на строительство (кем, когда выдано, реквизиты документа)</t>
  </si>
  <si>
    <t>Прогнозное/ проектное топливо (основное и резервное)</t>
  </si>
  <si>
    <t>[вид, тип топлива, заключение договоров на поставку топлива]</t>
  </si>
  <si>
    <t>Прогнозный объем потребления топлива</t>
  </si>
  <si>
    <t>Топливообеспечение</t>
  </si>
  <si>
    <t>[наличие подтверждения возможности поставки необходимых объемов топлива, стадия согласования с поставщиком/транспортировщиком топлива, наличие каких-либо проблем с топливообеспечением объекта, наличие согласования топливного режима с указанием даты, начиная с которой подтверждено обеспечение топливом]</t>
  </si>
  <si>
    <t>Технологическое присоединение объекта к электрической сети:</t>
  </si>
  <si>
    <t xml:space="preserve"> - заключение договора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</si>
  <si>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</si>
  <si>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</si>
  <si>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</si>
  <si>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Сметная стоимость проекта в ценах _____ 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</si>
  <si>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</si>
  <si>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</si>
  <si>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отчётную дату договоров по проекту, млн. руб.</t>
  </si>
  <si>
    <t xml:space="preserve"> - по договорам подряда (в разбивке по каждому подрядчику и по договорам):</t>
  </si>
  <si>
    <t>объем заключенного договора в ценах ______ года с НДС, млн. руб.</t>
  </si>
  <si>
    <t>% от сметной стоимости проекта</t>
  </si>
  <si>
    <t>оплачено по договору, млн. руб.</t>
  </si>
  <si>
    <t>освоено по договору, млн. руб.</t>
  </si>
  <si>
    <t xml:space="preserve"> - по договорам поставки основного оборудования (в разбивке по каждому поставщику и по договорам):</t>
  </si>
  <si>
    <t xml:space="preserve"> 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</si>
  <si>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</si>
  <si>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 xml:space="preserve"> - СМР, %</t>
  </si>
  <si>
    <t xml:space="preserve"> - поставка основного оборудования, %</t>
  </si>
  <si>
    <t xml:space="preserve"> - разработка проектной документации и рабочей документации, %</t>
  </si>
  <si>
    <t>% оплаты по объекту(предоплата)</t>
  </si>
  <si>
    <t>всего оплачено по объекту</t>
  </si>
  <si>
    <t>%  освоения по объекту за отчетный период</t>
  </si>
  <si>
    <t>всего освоено по объекту</t>
  </si>
  <si>
    <t>Участники реализации инвестиционного проекта:</t>
  </si>
  <si>
    <t>[юридическое лицо, вид услуг/ подряда, предмет договора, дата заключения/ расторжения и номер договора/ соглашений к договору]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</si>
  <si>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</si>
  <si>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</si>
  <si>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</si>
  <si>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</si>
  <si>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</si>
  <si>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</si>
  <si>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 строительства энергообъекта</t>
  </si>
  <si>
    <t xml:space="preserve"> - строительный персонал</t>
  </si>
  <si>
    <t xml:space="preserve"> - монтажный персонал</t>
  </si>
  <si>
    <t>Основное оборудование</t>
  </si>
  <si>
    <t>[наименование, количество, краткие технические характеристики, сроки изготовления/ поставки, место хранения]</t>
  </si>
  <si>
    <t>График поставки основного оборудования</t>
  </si>
  <si>
    <t xml:space="preserve"> - дата поставки</t>
  </si>
  <si>
    <t xml:space="preserve"> - задержки в поставке</t>
  </si>
  <si>
    <t xml:space="preserve"> - причины задержек</t>
  </si>
  <si>
    <t>Фактическое состояние реализации инвестиционного проекта в срок</t>
  </si>
  <si>
    <t>[возможность реализации в установленный срок, отставание от установленного срока, причины отставания, возможный срок ввода объекта]</t>
  </si>
  <si>
    <t>Факты и события, влияющие на ход реализации проекта, проблемные вопросы:</t>
  </si>
  <si>
    <t>[описание факта или события, ссылки на документы, влияние факта/ события на срок реализации проекта в месяцах, принятые меры по устранению причин отставаний и выявленных нарушений, исключающие их повторение]</t>
  </si>
  <si>
    <t xml:space="preserve"> - выявленные нарушения договоров подряда,</t>
  </si>
  <si>
    <t xml:space="preserve"> - рекламации к заводам - изготовителям и поставщикам,</t>
  </si>
  <si>
    <t xml:space="preserve"> - предписания надзорных органов,</t>
  </si>
  <si>
    <t xml:space="preserve"> - дефицит источников финансирования и др.,</t>
  </si>
  <si>
    <t xml:space="preserve"> - другое (расшифровать)</t>
  </si>
  <si>
    <t>* Если выполняется любой из нижеперечисленных критериев:</t>
  </si>
  <si>
    <t xml:space="preserve">     1. Проекты, финансируемые полностью или частично за счет средств федерального бюджета, и/или включенные в Федеральные целевые программы.</t>
  </si>
  <si>
    <t xml:space="preserve">     2. Объекты выдачи мощности ТЭС, ГЭС, АЭС.</t>
  </si>
  <si>
    <t xml:space="preserve">     3. Генерирующие объекты мощностью свыше 100 МВт.</t>
  </si>
  <si>
    <t xml:space="preserve">     4. Проекты, имеющие федеральное значение (объекты энергоснабжения Олимпиады в г. Сочи, саммита АТЭС в г. Владивосток, ВСТО и др.).</t>
  </si>
  <si>
    <t xml:space="preserve">     5. Проекты сметной стоимостью свыше 3 млрд. руб. (в текущих ценах с НДС)</t>
  </si>
  <si>
    <t xml:space="preserve">     6. Объекты, предусмотренные Генеральной схемой размещения объектов электроэнергетики до 2020 года.</t>
  </si>
  <si>
    <t>** Копии положительного заключения Госэкспертизы по ПСД, сводного сметного расчета  необходимо представить в Минэнерго России</t>
  </si>
  <si>
    <t>Руководитель организации</t>
  </si>
  <si>
    <t xml:space="preserve">                (подпись)                                                 (Ф.И.О.)</t>
  </si>
  <si>
    <t>Печать</t>
  </si>
  <si>
    <t>Приложение  № 11.1</t>
  </si>
  <si>
    <t xml:space="preserve">Отчетный период ____________ 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</si>
  <si>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</si>
  <si>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</si>
  <si>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</si>
  <si>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</si>
  <si>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</si>
  <si>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</si>
  <si>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</si>
  <si>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</si>
  <si>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</si>
  <si>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</si>
  <si>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</si>
  <si>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* Заполняется согласно приложению 3.2.</t>
  </si>
  <si>
    <t>Приложение  № 11.2</t>
  </si>
  <si>
    <t xml:space="preserve">№ п/п
п/п
</t>
  </si>
  <si>
    <t>Приложение  № 12</t>
  </si>
  <si>
    <t>Финансовые показатели за отчетный период [__ квартал ________ года/ ______ год]</t>
  </si>
  <si>
    <t>Наименование показателя</t>
  </si>
  <si>
    <t xml:space="preserve">Метод учета </t>
  </si>
  <si>
    <t>На конец отчетного квартала/За отчетный квартал</t>
  </si>
  <si>
    <t xml:space="preserve">На конец 2009 года / За 2009 год </t>
  </si>
  <si>
    <t xml:space="preserve">Направления распределения чистой прибыли: </t>
  </si>
  <si>
    <t>дивиденды</t>
  </si>
  <si>
    <t xml:space="preserve">другое (расшифровать) 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</si>
  <si>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</si>
  <si>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</si>
  <si>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</si>
  <si>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</si>
  <si>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</si>
  <si>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</si>
  <si>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</si>
  <si>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</si>
  <si>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</si>
  <si>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</si>
  <si>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</si>
  <si>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</si>
  <si>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</si>
  <si>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</si>
  <si>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</si>
  <si>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</si>
  <si>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</si>
  <si>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</si>
  <si>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</si>
  <si>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</si>
  <si>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</si>
  <si>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</si>
  <si>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 xml:space="preserve">    на 2010 г. </t>
  </si>
  <si>
    <t xml:space="preserve">    на период 2010-2012 гг.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</si>
  <si>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</si>
  <si>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</t>
  </si>
  <si>
    <t>Приложение  № 13</t>
  </si>
  <si>
    <t>Приложение  № 14</t>
  </si>
  <si>
    <t>Перечень инвестиционных проектов инвестиционной программы и план их финансирования</t>
  </si>
  <si>
    <t>всего,
год N</t>
  </si>
  <si>
    <t xml:space="preserve">Источники финансирования инвестиционной программы на год N, млн. рублей </t>
  </si>
  <si>
    <t>в том числе инвестиционная составляющая в тарифе</t>
  </si>
  <si>
    <t xml:space="preserve">в том числе прибыль со свободного сектора </t>
  </si>
  <si>
    <t>в том числе от технологического присоединения (для электросетевых компаний)</t>
  </si>
  <si>
    <t>в том числе от технологического присоединения генерации</t>
  </si>
  <si>
    <t>в том числе от технологического присоединения потребителей</t>
  </si>
  <si>
    <t>в т.ч. Средства от доп. эмиссии акций</t>
  </si>
  <si>
    <t xml:space="preserve">Привлеченные средства, в т.ч.: </t>
  </si>
  <si>
    <t xml:space="preserve">План ввода/вывода объектов в году N, млн. рублей </t>
  </si>
  <si>
    <t>1 кв. года N</t>
  </si>
  <si>
    <t>2 кв. года N</t>
  </si>
  <si>
    <t>3 кв. года N</t>
  </si>
  <si>
    <t>4 кв. года N</t>
  </si>
  <si>
    <t>год N</t>
  </si>
  <si>
    <t>№ приложения</t>
  </si>
  <si>
    <t>Наименование приложения</t>
  </si>
  <si>
    <t>период</t>
  </si>
  <si>
    <t>заявка 11-15</t>
  </si>
  <si>
    <t>отправлено</t>
  </si>
  <si>
    <t>1.1.</t>
  </si>
  <si>
    <t>Перечень инвестиционных проектов на период реализации инвестиционной программы и план их финансирования</t>
  </si>
  <si>
    <t>1.2.</t>
  </si>
  <si>
    <t>Стоимость основных этапов работ по реализации инвестиционной программы компании на год N</t>
  </si>
  <si>
    <t>N</t>
  </si>
  <si>
    <t>1.3.</t>
  </si>
  <si>
    <t xml:space="preserve">Прогноз ввода/вывода объектов </t>
  </si>
  <si>
    <t>1.4.</t>
  </si>
  <si>
    <t>Рекомендуемая форма представления предложений о внесении изменений в перечень инвестиционных проектов, входящих в состав инвестиционной программы, млн. рублей с НДС</t>
  </si>
  <si>
    <t>корректировка</t>
  </si>
  <si>
    <t>2.1.</t>
  </si>
  <si>
    <t>Пояснительная записка</t>
  </si>
  <si>
    <t>2.2.</t>
  </si>
  <si>
    <t xml:space="preserve">Краткое описание инвестиционной программы </t>
  </si>
  <si>
    <t>2.3.</t>
  </si>
  <si>
    <t>Финансовая модель по проекту инвестиционной программы</t>
  </si>
  <si>
    <t>3.1.</t>
  </si>
  <si>
    <t xml:space="preserve">Укрупненный сетевой график выполнения инвестиционного проекта  </t>
  </si>
  <si>
    <t>3.2.</t>
  </si>
  <si>
    <t>I. Контрольные  этапы реализации инвестиционного проекта для генерирующих компаний</t>
  </si>
  <si>
    <t>4.1.</t>
  </si>
  <si>
    <t>Финансовый план на период реализации инвестиционной программы
(заполняется по финансированию)</t>
  </si>
  <si>
    <t>4.2.</t>
  </si>
  <si>
    <t>Источники финансирования инвестиционных программ 
(в прогнозных ценах соответствующих лет), млн. рублей</t>
  </si>
  <si>
    <t>4.3.</t>
  </si>
  <si>
    <t>Финансовая модель 
(в разрезе каждого юридического лица группы/по конечным видам выпускаемой продукции) 
по годам до 2020 года включительно</t>
  </si>
  <si>
    <t>5.</t>
  </si>
  <si>
    <t>Отчет об исполнении финансового плана
(заполняется по финансированию)</t>
  </si>
  <si>
    <t>отчет</t>
  </si>
  <si>
    <t>6.1.</t>
  </si>
  <si>
    <t>Отчет об исполнении инвестиционной программы, млн. рублей с НДС
(представляется ежегодно)</t>
  </si>
  <si>
    <t>6.2.</t>
  </si>
  <si>
    <t>Отчет об источниках финансирования инвестиционных программ, млн. рублей 
(представляется ежегодно)</t>
  </si>
  <si>
    <t>6.3.</t>
  </si>
  <si>
    <t>Отчет о вводах/выводах объектов
(представляется ежегодно)</t>
  </si>
  <si>
    <t>7.1.</t>
  </si>
  <si>
    <t>Отчет об исполнении инвестиционной программы, млн. рублей с НДС
(представляется ежеквартально)</t>
  </si>
  <si>
    <t>отчет, кв</t>
  </si>
  <si>
    <t>7.2.</t>
  </si>
  <si>
    <t>Отчет об источниках финансирования инвестиционных программ, млн. рублей 
(представляется ежеквартально)</t>
  </si>
  <si>
    <t>8.</t>
  </si>
  <si>
    <t>9.</t>
  </si>
  <si>
    <t>Отчет о вводах/выводах объектов
(представляется ежеквартально)</t>
  </si>
  <si>
    <t>10.</t>
  </si>
  <si>
    <t>Отчет о ходе реализации проектов (заполняется для наиболее значимых проектов*)
(представляется ежеквартально)</t>
  </si>
  <si>
    <t>11.1.</t>
  </si>
  <si>
    <t>Отчет об исполнении сетевых графиков строительства проектов 
(представляется ежеквартально)</t>
  </si>
  <si>
    <t>11.2.</t>
  </si>
  <si>
    <t>I. Контрольные  этапы реализации инвестиционного проекта для генерирующих компаний
(представляется ежеквартально)</t>
  </si>
  <si>
    <t>12.</t>
  </si>
  <si>
    <t>замена КЛ-10кВ от п/ст "Восточная" - ТП 801</t>
  </si>
  <si>
    <t>Форма представления показателей финансовой отчетности 
(представляется ежеквартально)</t>
  </si>
  <si>
    <t>13.</t>
  </si>
  <si>
    <t>Отчет о техническом состоянии объекта
(представляется ежеквартально)</t>
  </si>
  <si>
    <t>14.</t>
  </si>
  <si>
    <t>График реализации инвестиционной программы *, млн. рублей с НДС
(представляется ежегодно до 15 декабря года, предшествующего плановому)</t>
  </si>
  <si>
    <t>год</t>
  </si>
  <si>
    <t>Утверждаю</t>
  </si>
  <si>
    <t>Ген. Директор ОАО «Орелоблэнерго»</t>
  </si>
  <si>
    <t>Перьков А..В.</t>
  </si>
  <si>
    <t>(подпись)</t>
  </si>
  <si>
    <t>«___»________ 20__ года</t>
  </si>
  <si>
    <t>М.П.</t>
  </si>
  <si>
    <t>№№</t>
  </si>
  <si>
    <t>Наименование объекта</t>
  </si>
  <si>
    <t>Стадия реализации проекта</t>
  </si>
  <si>
    <t>Проектная мощность/
протяженность сетей</t>
  </si>
  <si>
    <t>год 
начала 
сроительства</t>
  </si>
  <si>
    <t>год 
окончания 
строительства</t>
  </si>
  <si>
    <t>Полная 
стоимость 
строительства **</t>
  </si>
  <si>
    <t>Остаточная стоимость строительства **</t>
  </si>
  <si>
    <t>План 
финансирования 
текущего года</t>
  </si>
  <si>
    <t>Ввод мощностей</t>
  </si>
  <si>
    <t>Объем финансирования****</t>
  </si>
  <si>
    <t>План года 2013</t>
  </si>
  <si>
    <t>Итого</t>
  </si>
  <si>
    <t>План 
Года 2013</t>
  </si>
  <si>
    <t>С/П*</t>
  </si>
  <si>
    <t>МВт/Гкал/ч/км/МВА</t>
  </si>
  <si>
    <t>млн.рублей</t>
  </si>
  <si>
    <t xml:space="preserve">ВСЕГО, </t>
  </si>
  <si>
    <t>Техническое перевооружение и реконструкция</t>
  </si>
  <si>
    <t>Энергосбережение и повышение энергетической эффективности</t>
  </si>
  <si>
    <t>1.1.1.</t>
  </si>
  <si>
    <t>Техническое перевооружение  ТП,РП. Замена маслянных выключателей на вакуумные</t>
  </si>
  <si>
    <t>1.1.2.</t>
  </si>
  <si>
    <t xml:space="preserve">Техническое перевооружение ТП,РП. Замена силовых трансформаторов 10/6/0,4кВ </t>
  </si>
  <si>
    <t>1.1.3.</t>
  </si>
  <si>
    <t>Техническое перевооружение   ТП, РП.</t>
  </si>
  <si>
    <t>1.1.4.</t>
  </si>
  <si>
    <t xml:space="preserve">Реконструкция кабельных линий </t>
  </si>
  <si>
    <t>1.1.5.</t>
  </si>
  <si>
    <t xml:space="preserve">Реконструкция, техническое перевооружение воздушных линий </t>
  </si>
  <si>
    <t>1.1.6.</t>
  </si>
  <si>
    <t>Оснащение спецоборудованием, спецтехникой и приборами.</t>
  </si>
  <si>
    <t>Создание систем противоаварийной и режимной автоматики</t>
  </si>
  <si>
    <t>1.2.1</t>
  </si>
  <si>
    <t>Техническое перевооружение РП. Внедрение  микропроцессорной релейной защиты и автоматики в РП.</t>
  </si>
  <si>
    <t>1.2.2</t>
  </si>
  <si>
    <t>Техническое перевооружение электросетевого хозяйства. Установка  реклоузеров</t>
  </si>
  <si>
    <t xml:space="preserve">Создание систем телемеханики  и связи </t>
  </si>
  <si>
    <t>1.3.1</t>
  </si>
  <si>
    <t>Построение автоматизированной информационно-измерительной системы и АСКУЭ  в распределительных сетях 6/10 кВ</t>
  </si>
  <si>
    <t>5 компл</t>
  </si>
  <si>
    <t>1.3.2</t>
  </si>
  <si>
    <t>Построение АСКУЭ  в распределительных сетях 0,4 кВ на вводах в ТП и объекты энергоснабжения</t>
  </si>
  <si>
    <t>1.3.3</t>
  </si>
  <si>
    <t>Техническое перевооружение  АСУП ОАО «Орелоблэнерго» на базе ПО «Модус»</t>
  </si>
  <si>
    <t>Установка устройств регулирования напряжения и компенсации реактивной мощности</t>
  </si>
  <si>
    <t>2.</t>
  </si>
  <si>
    <t>Новое строительство</t>
  </si>
  <si>
    <t>2.1.2</t>
  </si>
  <si>
    <t>Строительство объектов электросетевого хозяйства для осуществления технологических присоединений</t>
  </si>
  <si>
    <t>Прочее новое строительство</t>
  </si>
  <si>
    <t>Справочно:</t>
  </si>
  <si>
    <t>Оплата процентов за привлеченные кредитные ресурсы</t>
  </si>
  <si>
    <t>* С - строительство, П- проектирование</t>
  </si>
  <si>
    <t>** - согласно проектной документации в текущих ценах (с НДС)</t>
  </si>
  <si>
    <t>*** - для сетевых организаций, переодящих на метод тарифного регулирования RAB, горизонт планирования может быть больше</t>
  </si>
  <si>
    <t>**** - в прогнозных ценах соответствующего года</t>
  </si>
  <si>
    <t>Примечание: для сетевых объектов с разделением объектов на ПС, ВЛ и КЛ</t>
  </si>
  <si>
    <t xml:space="preserve">Стоимость основных этапов работ по реализации инвестиционной программы компании на 2013 год </t>
  </si>
  <si>
    <t>Наименование объекта*</t>
  </si>
  <si>
    <t>Технические характеристики реконструируемых объектов</t>
  </si>
  <si>
    <t>Плановый объем финансирования, млн. руб.**</t>
  </si>
  <si>
    <t>Технические характеристики созданных объектов</t>
  </si>
  <si>
    <t>Генерирующие объекты</t>
  </si>
  <si>
    <t xml:space="preserve">Подстанции </t>
  </si>
  <si>
    <t>Линии электропередачи</t>
  </si>
  <si>
    <t>Иные
объекты</t>
  </si>
  <si>
    <t>Иные 
объекты</t>
  </si>
  <si>
    <t>год ввода в эксплуатацию</t>
  </si>
  <si>
    <t>Нормативный срок службы, лет</t>
  </si>
  <si>
    <t>мощность, МВт</t>
  </si>
  <si>
    <t>тепловая энергия,
Гкал/час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</si>
  <si>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</si>
  <si>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</si>
  <si>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</si>
  <si>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</si>
  <si>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</si>
  <si>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</si>
  <si>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</si>
  <si>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</si>
  <si>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</si>
  <si>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</si>
  <si>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</si>
  <si>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Нормативный 
срок службы, 
лет</t>
  </si>
  <si>
    <t>тепловая энергия, 
Гкал/час</t>
  </si>
  <si>
    <t xml:space="preserve"> </t>
  </si>
  <si>
    <t>г.Орел</t>
  </si>
  <si>
    <t xml:space="preserve"> В РП-3 на СР</t>
  </si>
  <si>
    <t>МВ-1шт</t>
  </si>
  <si>
    <t>ВВ</t>
  </si>
  <si>
    <t>МВ-4шт</t>
  </si>
  <si>
    <t xml:space="preserve"> В РП-9на ОЛ-92,96,90,93</t>
  </si>
  <si>
    <t>ИТОГО г. Орел</t>
  </si>
  <si>
    <t>Ливенский МФ</t>
  </si>
  <si>
    <t xml:space="preserve"> В ТП-156   Ф-23</t>
  </si>
  <si>
    <t xml:space="preserve"> В ТП-47   ПЛ 28</t>
  </si>
  <si>
    <t>Кромской МФ</t>
  </si>
  <si>
    <t xml:space="preserve"> В   ЦРП   Ф-2</t>
  </si>
  <si>
    <t>ИТОГО  МФ</t>
  </si>
  <si>
    <t>3шт</t>
  </si>
  <si>
    <t>ВСЕГО:</t>
  </si>
  <si>
    <t>Замена трансформаторов мощностью 100кВа на трансформаторы мощностью 100кВА</t>
  </si>
  <si>
    <t>1957-59</t>
  </si>
  <si>
    <t>Замена трансформаторов мощностью 200кВа на трансформаторы мощностью 250кВА</t>
  </si>
  <si>
    <t>Замена трансформаторов мощностью 250кВа на трансформаторы мощностью 250кВА</t>
  </si>
  <si>
    <t>1936-59</t>
  </si>
  <si>
    <t>Замена трансформаторов мощностью 320кВа на трансформаторы мощностью 400кВА</t>
  </si>
  <si>
    <t>1950-59</t>
  </si>
  <si>
    <t>Замена трансформаторов мощностью 400кВа на трансформаторы мощностью 400кВА</t>
  </si>
  <si>
    <t>1953-59</t>
  </si>
  <si>
    <t>Замена трансформаторов мощностью 180кВа на трансформаторы мощностью 250кВА ТП-129</t>
  </si>
  <si>
    <t>Замена трансформаторов мощностью 315кВа на трансформаторы мощностью 400кВА в ТП-444</t>
  </si>
  <si>
    <t>Знаменский участок</t>
  </si>
  <si>
    <t>Верховский МФ</t>
  </si>
  <si>
    <t>Змиевский МФ</t>
  </si>
  <si>
    <t>Нарышкинский МФ</t>
  </si>
  <si>
    <t>Залегощенский МФ</t>
  </si>
  <si>
    <t>ТП — 704</t>
  </si>
  <si>
    <t>Замена оборудования  РУ 0.4кВ</t>
  </si>
  <si>
    <t>Пензенские щиты 2шт.</t>
  </si>
  <si>
    <t>Панели ЩО-70 2шт</t>
  </si>
  <si>
    <t>Замена оборудования РУ 6кВ</t>
  </si>
  <si>
    <t>Разъеденитель 2шт</t>
  </si>
  <si>
    <t>Выключ. Нагрузки 2шт</t>
  </si>
  <si>
    <t>ТП — 705</t>
  </si>
  <si>
    <t>Разъеденитель 3шт</t>
  </si>
  <si>
    <t>Выключ. Нагрузки 3шт</t>
  </si>
  <si>
    <t>ТП-54</t>
  </si>
  <si>
    <t>Замена оборудования РУ-6кВ</t>
  </si>
  <si>
    <t>КСО   -4шт</t>
  </si>
  <si>
    <t>КСО-393   -4шт</t>
  </si>
  <si>
    <t>ТП-468</t>
  </si>
  <si>
    <t>РВ -4шт</t>
  </si>
  <si>
    <t>Полная замена распределительных щитов управления  в ТП-461,465</t>
  </si>
  <si>
    <t xml:space="preserve">1956 - 1983 </t>
  </si>
  <si>
    <t>2шт</t>
  </si>
  <si>
    <t>Установка камер КСО с В/В в РП 21,29</t>
  </si>
  <si>
    <t>4шт</t>
  </si>
  <si>
    <t>Установка Панелей ЩО-70 в РУ-0,4 кВ ТП 371, 003, 444, 129</t>
  </si>
  <si>
    <t>6 шт</t>
  </si>
  <si>
    <t>Установить линейный и шинный разъединители в РУ-6 кВ  РП-29</t>
  </si>
  <si>
    <t xml:space="preserve">ЛР-1шт    ШР-1шт </t>
  </si>
  <si>
    <t>Болховский участок</t>
  </si>
  <si>
    <t>ТП-27</t>
  </si>
  <si>
    <t>Замена оборудования  РУ 10кВ</t>
  </si>
  <si>
    <t>ВН-16 2шт.</t>
  </si>
  <si>
    <t>КСО-386 2 шт.</t>
  </si>
  <si>
    <t>Замена оборудования  РУ 0,4кВ</t>
  </si>
  <si>
    <t>Панель ЩО 70 2шт.</t>
  </si>
  <si>
    <t>Замена оборудования РУ 10кВ</t>
  </si>
  <si>
    <t>ТП — 5  в г.Ливны</t>
  </si>
  <si>
    <t>РВ  4шт.</t>
  </si>
  <si>
    <t>КСО-393 4 шт.</t>
  </si>
  <si>
    <t>ТП — 5  в п.Колпна</t>
  </si>
  <si>
    <t>РВ  2шт.</t>
  </si>
  <si>
    <t>КСО-393 2 шт.</t>
  </si>
  <si>
    <t>Панель ЩО 59 2шт.</t>
  </si>
  <si>
    <t>ТП —3  в п.Змиевка</t>
  </si>
  <si>
    <t>Разъеде-нитель 1шт</t>
  </si>
  <si>
    <t>КСО-393 1шт.</t>
  </si>
  <si>
    <t>ТП —2  в п.Глазуновка</t>
  </si>
  <si>
    <t>Панель ЩО 59 1шт.</t>
  </si>
  <si>
    <t>Панель ЩО 70 1шт.</t>
  </si>
  <si>
    <t>ТП —4  в г.Дмитровске</t>
  </si>
  <si>
    <t>ВН  1шт.</t>
  </si>
  <si>
    <t>1.1.4</t>
  </si>
  <si>
    <t>ААШВ-10   3х120</t>
  </si>
  <si>
    <t xml:space="preserve">АСБ-10                     3х120 </t>
  </si>
  <si>
    <t>замена КЛ-10кВ от п/ст "Восточная" - ТП 805</t>
  </si>
  <si>
    <t>ААБ-10    3х150</t>
  </si>
  <si>
    <t>АСБ-10              3х185</t>
  </si>
  <si>
    <t>замена КЛ-6кВ от ТП-305 -  ТП-306</t>
  </si>
  <si>
    <t>ААШВ-6   3х95</t>
  </si>
  <si>
    <t>АСБ-10              3х95</t>
  </si>
  <si>
    <t>замена КЛ-6кВ от ТП-343 -  ТП-347</t>
  </si>
  <si>
    <t>ААБ    3х95</t>
  </si>
  <si>
    <t>монтаж  КЛ-0,4кВ от              ТП-132 до ВРУ ул.Приборостроительная,17</t>
  </si>
  <si>
    <t>ААБл 3х185+  1х70</t>
  </si>
  <si>
    <t>АСБ-1 4х185</t>
  </si>
  <si>
    <t>монтаж  КЛ-0,4кВ от ТП-334 до ВРУ ул.Комсомольская д.132-128</t>
  </si>
  <si>
    <t>ААБ    3х95+1х50</t>
  </si>
  <si>
    <t>АСБ-1 4х95</t>
  </si>
  <si>
    <t>монтаж  КЛ-0,4кВ от ТП-334 до ВРУ ул.Комсомольская д.122-124</t>
  </si>
  <si>
    <t>ААБ    3х95+    1х50</t>
  </si>
  <si>
    <t>монтаж  КЛ-0,4кВ от ТП-334 до ВРУ ул.Комсомольская д.124-132</t>
  </si>
  <si>
    <t>монтаж  КЛ-0,4кВ от  ТП-334 до ВРУ ул.Комсомольская д.128</t>
  </si>
  <si>
    <t>монтаж  КЛ-0,4кВ от  ТП-334 до ВРУ ул.Комсомольская д.120</t>
  </si>
  <si>
    <t>Замена КЛ 0,4 кВ  Ф-9от ТП-3 ул.Гагарина в п. Верховье</t>
  </si>
  <si>
    <t>АСБ 3х120+1х35</t>
  </si>
  <si>
    <t>АВБшВ 4х120</t>
  </si>
  <si>
    <t>Болховский МФ</t>
  </si>
  <si>
    <t>Замена КЛ-10кВ от ТП-38  до ТП-48 в г.Болхове</t>
  </si>
  <si>
    <t>ААБл3х95</t>
  </si>
  <si>
    <t>АСБ-10  3х95</t>
  </si>
  <si>
    <t xml:space="preserve">Монтаж СИП 2А от ТП-677 по ул.Московская, ул.Елецкая, пер.Элеваторный, Старо-Московское ш. </t>
  </si>
  <si>
    <t xml:space="preserve">                  1958       1967       1968     1958 </t>
  </si>
  <si>
    <t xml:space="preserve">                       15              7              7       15</t>
  </si>
  <si>
    <t xml:space="preserve">                     ж/б          дер.         дер.      ж/б </t>
  </si>
  <si>
    <t>А35</t>
  </si>
  <si>
    <t>ж/б</t>
  </si>
  <si>
    <t>СИП 2А 3х50+   1х54,6+   1х16</t>
  </si>
  <si>
    <t xml:space="preserve">Монтаж СИП 2А от КТП-685, пер.Южный                               </t>
  </si>
  <si>
    <t xml:space="preserve">                    дер       </t>
  </si>
  <si>
    <t xml:space="preserve">Монтаж СИП 2А от ТП-307, ул.Земнухова, ул.Чайкиной                                                </t>
  </si>
  <si>
    <t xml:space="preserve">                  1964    1964</t>
  </si>
  <si>
    <t xml:space="preserve">                        7          7  </t>
  </si>
  <si>
    <t xml:space="preserve">                     дер.         дер.      </t>
  </si>
  <si>
    <t>А 25</t>
  </si>
  <si>
    <t xml:space="preserve">Монтаж СИП 2А от ТП-696, пер.Стишский, пер.Орбитный, ул.Славянская, ул.Черниговская                                         </t>
  </si>
  <si>
    <t xml:space="preserve">                  1963       1964       1957     1956 </t>
  </si>
  <si>
    <t xml:space="preserve">                        7               7               7            7    </t>
  </si>
  <si>
    <t xml:space="preserve">     дер.         дер          дер      дер</t>
  </si>
  <si>
    <t>А25, А25, А35, А35</t>
  </si>
  <si>
    <t xml:space="preserve">Монтаж СИП 2А от КТП-739, ул.Челябинская, ул.Уральская, пер.Уральский            </t>
  </si>
  <si>
    <t xml:space="preserve">   1966       1967    1967</t>
  </si>
  <si>
    <t xml:space="preserve">                        7               7         7 </t>
  </si>
  <si>
    <t xml:space="preserve">     дер.         дер          дер      </t>
  </si>
  <si>
    <t>Монтаж СИП 2А от ТП-745, пер.Керамический, ул.Запрудная, пер.Гончарный</t>
  </si>
  <si>
    <t xml:space="preserve">  1958      1964       1965       </t>
  </si>
  <si>
    <t xml:space="preserve">     дер.                  </t>
  </si>
  <si>
    <t>Монтаж СИП 2А от ТП-733, ул. Непрецкая, Журавинская, Свердлова, Тютчева</t>
  </si>
  <si>
    <t xml:space="preserve">  1964     1965       1965       </t>
  </si>
  <si>
    <t xml:space="preserve">  дер.</t>
  </si>
  <si>
    <t xml:space="preserve">Монтаж СИП 2А от ТП-738, Рабочий городок, ул.Фестивальная                                        </t>
  </si>
  <si>
    <t xml:space="preserve">   1950    1956</t>
  </si>
  <si>
    <t xml:space="preserve">Монтаж СИП 2А от ТП-403, пер.Городской, ул.Линейная                                 </t>
  </si>
  <si>
    <t xml:space="preserve">   1960    1963</t>
  </si>
  <si>
    <t>А16, А25</t>
  </si>
  <si>
    <t xml:space="preserve">Монтаж СИП 2А от ТП-78, ул.Веселая, ул.Восход                                 </t>
  </si>
  <si>
    <t xml:space="preserve">Монтаж СИП 2А от ТП-607, ул.Абрамова-Соколова                                      </t>
  </si>
  <si>
    <t>дер.</t>
  </si>
  <si>
    <t>Монтаж СИП 2А от ТП-607, пер.Элеваторный</t>
  </si>
  <si>
    <t>дер</t>
  </si>
  <si>
    <t xml:space="preserve">Монтаж СИП 2А от ТП-753 по  ул.Половецкая (правая сторона) </t>
  </si>
  <si>
    <t>1959 1961</t>
  </si>
  <si>
    <t xml:space="preserve">        7         7</t>
  </si>
  <si>
    <t>А 35,16</t>
  </si>
  <si>
    <t>Монтаж СИП 2А от ТП 341 ВЛ 0,4 кВ  пер.Карачевский</t>
  </si>
  <si>
    <t>СИП 2А 3х35+  1х54,6+  1х16</t>
  </si>
  <si>
    <t>ВЛ — 0,4 кВ</t>
  </si>
  <si>
    <t xml:space="preserve">Монтаж СИП 2А от ТП-37 по ул. Б. и М. Ржевская  в г. Болхове </t>
  </si>
  <si>
    <t>дер. с ж/б приставкой</t>
  </si>
  <si>
    <t xml:space="preserve"> А-16</t>
  </si>
  <si>
    <t>ж/б СВ-95</t>
  </si>
  <si>
    <t>СИП 2А3х35+1х54,6</t>
  </si>
  <si>
    <t xml:space="preserve">Монтаж СИП 2А от ТП-28 по ул.Г. Белова, ул. Подгорной в г. Болхове </t>
  </si>
  <si>
    <t>А-25, А-16</t>
  </si>
  <si>
    <t>Монтаж СИП 2А  по ул. Ленина от ТП-1 Ф-3</t>
  </si>
  <si>
    <t>А-35</t>
  </si>
  <si>
    <t>ВЛ — 0,4/6/10 кВ</t>
  </si>
  <si>
    <t>Монтаж СИП 2А от ТП-6 по ул. Насосной в г. Ливны</t>
  </si>
  <si>
    <t>Монтаж СИП 2А от ТП-122 по ул. 2-ой Стрелецкой в г. Ливны</t>
  </si>
  <si>
    <t>Монтаж СИП 2А от ТП-8 по пер. 2-ой Привокзальный  в п. Колпна</t>
  </si>
  <si>
    <t>Монтаж СИП 2А от ТП-11 по пер 5-й Комсомольский в г. Колпна</t>
  </si>
  <si>
    <t>Монтаж СИП 2А от ТП-2 по ул. Дзержинского  в п. Долгое</t>
  </si>
  <si>
    <t>Монтаж СИП 2А от ТП-34 по ул. Комарова  в г. Ливны</t>
  </si>
  <si>
    <t>Монтаж СИП 2А от ТП-38 по ул. Садовая в г. Ливны</t>
  </si>
  <si>
    <t>Монтаж СИП 2А от ТП-147 по ул. Песочной  в г. Ливны</t>
  </si>
  <si>
    <t>Монтаж СИП 3А от ТП -14 до ТП-9   в п. Колпна</t>
  </si>
  <si>
    <t>АС-50</t>
  </si>
  <si>
    <t>ж/б СВ-110</t>
  </si>
  <si>
    <t>СИП 3А 1х50</t>
  </si>
  <si>
    <t xml:space="preserve">Монтаж СИП 2А от ТП-3 по ул. Советской  в с. Русский Брод </t>
  </si>
  <si>
    <t xml:space="preserve">дер. с ж/б приставкой, ж/б </t>
  </si>
  <si>
    <t>Монтаж СИП 2А от ТП-28 по ул. Самарева,Победы, Б.Хмельницкого  в п. Верховье</t>
  </si>
  <si>
    <t>ж/б кр.</t>
  </si>
  <si>
    <t>Монтаж СИП 2А от ТП-5 по ул.Советской  в п. Хомутово</t>
  </si>
  <si>
    <t>дер. с ж/б приставкой, ж/б кр.</t>
  </si>
  <si>
    <t>Монтаж СИП 2А от ТП-5 по ул. Кирова, ул. Пионерской  в п. Красная Заря</t>
  </si>
  <si>
    <t>Монтаж СИП 3А от Ф5 ТП7   в п. Верховье</t>
  </si>
  <si>
    <t>Монтаж СИП 2А от ТП-2 по ул. Привокзальой в п. Змиевка</t>
  </si>
  <si>
    <t>А-25</t>
  </si>
  <si>
    <t>Монтаж СИП 2А от ГКТП-9 по ул.Мира, Тургенева в п. Глазуновка</t>
  </si>
  <si>
    <t>А-16, А-25</t>
  </si>
  <si>
    <t>Монтаж СИП 2А от ТП-2 по ул. К.Маркса в г. Малоархангельске</t>
  </si>
  <si>
    <t>Монтаж СИП 2А от ТП-10 по ул.Ленина в п. Покровское</t>
  </si>
  <si>
    <t>Монтаж СИП 2А от ТП-1 по ул. Первомайской, пер.Базарному в п. Шаблыкино</t>
  </si>
  <si>
    <t>СИП 2А3х50+1х54,6</t>
  </si>
  <si>
    <t>Монтаж СИП 2А от ТП-2 по ул. Ленина в п. Хотынец</t>
  </si>
  <si>
    <t>дер. с ж/б приставкой, ж/б</t>
  </si>
  <si>
    <t>Монтаж СИП 2А от ТП-4 по ул. Верхней Северной в с. Сосково</t>
  </si>
  <si>
    <t>Монтаж СИП 3А  фидер №5 от опоры №25 до ТП «МРО» в пос.Нарышкино</t>
  </si>
  <si>
    <t>АС-35</t>
  </si>
  <si>
    <t>Монтаж СИП 2А от ТП-1 по ул.Пионерской и Садовой  в с. Моховое</t>
  </si>
  <si>
    <t>Монтаж СИП 2А от ТП-21 по ул.Гагарина в п. Залегощь</t>
  </si>
  <si>
    <t>Монтаж СИП 2А от ТП-1 по ул. К.Маркса  в г. Новосиль</t>
  </si>
  <si>
    <t>СИП 2А3х35+1х54,6; 2А3х70+1х70; 2А3х50+1х54,6</t>
  </si>
  <si>
    <t>Монтаж СИП 2А от ТП-16 по ул.Свободы  в п. Кромы</t>
  </si>
  <si>
    <t>Монтаж СИП 2А от ТП-8 по ул.Советской, пер. Сидельникова  в п. Кромы</t>
  </si>
  <si>
    <t>Монтаж СИП 2А от ТП-5 по ул. Пионерской  в с. Тросна</t>
  </si>
  <si>
    <t>Монтаж СИП 2А от ТП-1 по ул. Коммунистической  в г. Дмитровске</t>
  </si>
  <si>
    <t>Приобретение приборов и аппаратуры</t>
  </si>
  <si>
    <t>Вольтметры</t>
  </si>
  <si>
    <t>10шт</t>
  </si>
  <si>
    <t>Амперметры</t>
  </si>
  <si>
    <t>Частотометры</t>
  </si>
  <si>
    <t>Пирометры(тепловизоры)</t>
  </si>
  <si>
    <t>5шт</t>
  </si>
  <si>
    <t>Указатель высокого напряжения</t>
  </si>
  <si>
    <t>Токоизмерительные клещи до1 кВ</t>
  </si>
  <si>
    <t>Токоизмерительные клещи до 10кВ</t>
  </si>
  <si>
    <t>Многофункциональный прибор проверки узлов учета(без отключения и снятия счетчика)</t>
  </si>
  <si>
    <t>1шт</t>
  </si>
  <si>
    <t>Вольтамперфазомер (ВАФ)</t>
  </si>
  <si>
    <t>Мегаомметр Е-6-24</t>
  </si>
  <si>
    <t>Измеритель сопротивления заземления</t>
  </si>
  <si>
    <t>Измеритель тока короткого замыкания</t>
  </si>
  <si>
    <t>Устройство прогрузки защит "Ретом-11"</t>
  </si>
  <si>
    <t>Мультимер 266С</t>
  </si>
  <si>
    <t>ИТОГО 1.1.7.1</t>
  </si>
  <si>
    <t>Приобретение спецоборудования и спецтехники</t>
  </si>
  <si>
    <t>Радиостанция  "Icom"</t>
  </si>
  <si>
    <t>Компьютеры</t>
  </si>
  <si>
    <t>Многофункциональные устройства</t>
  </si>
  <si>
    <t>Самосвал ГАЗ-3307</t>
  </si>
  <si>
    <t>Автокран КС-35714 К-3</t>
  </si>
  <si>
    <t>Оперативно-ремонтная машина (фургон)  ГАЗ-3307</t>
  </si>
  <si>
    <t>Трактор МТЗ-82</t>
  </si>
  <si>
    <t>Прицеп тракторный</t>
  </si>
  <si>
    <t xml:space="preserve">ИТОГО 1.1.7.2 </t>
  </si>
  <si>
    <t>Техперевооружение РП. Внедрение микропроцессорной релейной защиты и автоматики в РП-5 на ОЛ-53, 54, 55,</t>
  </si>
  <si>
    <t>МВ-3шт</t>
  </si>
  <si>
    <t>8 шт</t>
  </si>
  <si>
    <t>ИТОГО</t>
  </si>
  <si>
    <t>Техническое перевооружение электросетевого хозяйства. Установка  реклоузеров.</t>
  </si>
  <si>
    <t xml:space="preserve">Установка для целей защиты пункта секционирования столбового (ПСС-10 Реклоузер)   на ВЛ-6 кВ от ТП-700 в сторону ТП-730 </t>
  </si>
  <si>
    <t>Установка для целей защиты и технического учета пункта секционирования и учета электроэнергии  (ПСС-10 СУ)  ВЛ-10 кВ фидер №10 п/ст «Болхов» опора №4</t>
  </si>
  <si>
    <t>Установка для целей защиты пункта секционирования столбового (ПСС-10 Реклоузер)  на ВЛ-10 кВ ответвление в сторону ТП-3, фидер№6 п/ст «Знаменская»</t>
  </si>
  <si>
    <t>Установка для целей защиты пункта секционирования столбового (ПСС-10 Реклоузер) на  ВЛ-6 кВ Фидер№14,  п/ст «Черкасская», опора №31</t>
  </si>
  <si>
    <t>Построение автоматизированной информационно-измерительной системы АСКУЭ  в распределительных сетях 6/10 кВ</t>
  </si>
  <si>
    <t>Построение автоматизированной информационно-измерительной системы АСКУЭ  в распределительных сетях 6/10 кВ по питающим линиям от ПС Болхов Фидер 9</t>
  </si>
  <si>
    <t>Построение автоматизированной информационно-измерительной системы АСКУЭ  в распределительных сетях 6/10 кВ по питающим линиям от ПС Красная заря Фидер 23</t>
  </si>
  <si>
    <t>Построение автоматизированной информационно-измерительной системы АСКУЭ  в распределительных сетях 6/10 кВ по питающим линиям от ПС Новосиль Фидер 21</t>
  </si>
  <si>
    <t>Построение автоматизированной информационно-измерительной системы АСКУЭ  в распределительных сетях 6/10 кВ по питающим линиям от ПС Глазуновка Фидер 4</t>
  </si>
  <si>
    <t>Построение автоматизированной информационно-измерительной системы АСКУЭ  в распределительных сетях 6/10 кВ по питающим линиям от ПС Хотынец Фидер 10</t>
  </si>
  <si>
    <t>Построение АСКУЭ  в распределительных сетях 0,4 кВ  на вводах в ТП и объекты энергоснабжения</t>
  </si>
  <si>
    <t>Орел</t>
  </si>
  <si>
    <t xml:space="preserve">Построение АСКУЭ  в распределительных сетях 0,4 кВ на вводах в ТП-385 ул. Левый берег Оки (27, 29, 43); ул. 1 Посадская (41, 50) </t>
  </si>
  <si>
    <t>Построение АСКУЭ  в распределительных сетях 0,4 кВ на вводах в ТП-386 пер. Воскресенский, 38; ул. Левый берег Оки, 51</t>
  </si>
  <si>
    <t>Построение АСКУЭ  в распределительных сетях 0,4 кВ на вводах в ТП-805 ул. Московское шоссе, 139 (2 шит), Бурова, 2</t>
  </si>
  <si>
    <t>Построение АСКУЭ  в распределительных сетях 0,4 кВ на вводах в ТП-837 ул. Рощинская 13а; Московскоее шоссе 171 (2 щит)</t>
  </si>
  <si>
    <t>Построение АСКУЭ  в распределительных сетях 0,4 кВ на вводах в ТП-389 пер. Воскресенский (11, 13А, 30); ул. Гагарина (11, 13); пер. Рыночный, 3</t>
  </si>
  <si>
    <t>Построение АСКУЭ  в распределительных сетях 0,4 кВ на вводах в ТП-57  для жилых домов: Гайдара 1,3; Октябрьская, 13, 15, 19, 21</t>
  </si>
  <si>
    <t>Построение АСКУЭ  в распределительных сетях 0,4 кВ на вводах в ТП-81 для жилых домов: М. Горького 4, 5, 6, 7</t>
  </si>
  <si>
    <t>Построение АСКУЭ  в распределительных сетях 0,4 кВ на вводах  в ТП-164 для жилых домов:  Мира, 221, 225, 227</t>
  </si>
  <si>
    <t>Построение АСКУЭ  в распределительных сетях 0,4 кВ на вводах в ТП-54  для жилых домов: Мира 203, 205, 207, 209, Денисова 34</t>
  </si>
  <si>
    <t>Построение АСКУЭ  в распределительных сетях 0,4 кВ на вводах в ТП-30  для жилых домов: Дружбы народов 163, М.Горького 50, Пушкина 7, Поликарпова 6а</t>
  </si>
  <si>
    <t>Построение АСКУЭ  в распределительных сетях 0,4 кВ на вводах  в ТП-41  для жилых домов: К.Филипова 47а,60, 62,М.Горького 8, 20</t>
  </si>
  <si>
    <t>Построение АСКУЭ  в распределительных сетях 0,4 кВ на вводах в ЗТП-19 для жилых домов: Бондаренко 3; Советская 66</t>
  </si>
  <si>
    <t>ВСЕГО АСКУЭ 0.4 кВ</t>
  </si>
  <si>
    <t>Реконструкция АСУП ОАО «Орелоблэнерго» на базе ПО «Модус», формирование базы данных по объектам энергоснабжения</t>
  </si>
  <si>
    <t>1.4</t>
  </si>
  <si>
    <t>ТМГ-630  2 шт.</t>
  </si>
  <si>
    <t>Объект 1</t>
  </si>
  <si>
    <t>Объект 2</t>
  </si>
  <si>
    <t>…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</si>
  <si>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</si>
  <si>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(с НДС)</t>
  </si>
  <si>
    <r>
      <t xml:space="preserve">Наименование инвестиционного проекта: </t>
    </r>
    <r>
      <rPr>
        <b/>
        <sz val="12"/>
        <rFont val="Times New Roman"/>
        <family val="1"/>
      </rPr>
      <t>Техническое перевооружение и реконструкция.</t>
    </r>
  </si>
  <si>
    <t>№ п/п</t>
  </si>
  <si>
    <t>Наименование проекта</t>
  </si>
  <si>
    <t>Вывод  мощностей</t>
  </si>
  <si>
    <t>МВт, Гкал/час, км, МВА</t>
  </si>
  <si>
    <t xml:space="preserve">Реконструкция воздушных линий </t>
  </si>
  <si>
    <t xml:space="preserve">Техническое перевооружение Замена силовых трансформаторов 10/ 6/0,4кВ </t>
  </si>
  <si>
    <t>Реконструкция ТП. Строительство новых ТП взамен ликвидируемых старых.</t>
  </si>
  <si>
    <t>Приложение  № 1.4</t>
  </si>
  <si>
    <t>к приказу Минэнерго России</t>
  </si>
  <si>
    <t>от «___»________2010 г. №____</t>
  </si>
  <si>
    <t>руководитель организации</t>
  </si>
  <si>
    <t>Остаток стоимости на начало года **</t>
  </si>
  <si>
    <t>Объем финансирования
 [отчетный год]</t>
  </si>
  <si>
    <t>Осталось профинансировать по результатам отчетного периода **</t>
  </si>
  <si>
    <t>Объем корректировки ****</t>
  </si>
  <si>
    <t>Объем ввода мощностей</t>
  </si>
  <si>
    <t>Причины 
корректировки</t>
  </si>
  <si>
    <t>всего</t>
  </si>
  <si>
    <t>1 кв</t>
  </si>
  <si>
    <t>2 кв</t>
  </si>
  <si>
    <t>3 кв</t>
  </si>
  <si>
    <t>4 кв</t>
  </si>
  <si>
    <t>%</t>
  </si>
  <si>
    <t>в том числе за счет</t>
  </si>
  <si>
    <t>план***</t>
  </si>
  <si>
    <t>скорректированный объем****</t>
  </si>
  <si>
    <t>план</t>
  </si>
  <si>
    <t>скорректированный объем</t>
  </si>
  <si>
    <t>уточнения стоимости по результатам утвержденной ПСД</t>
  </si>
  <si>
    <t>уточнения стоимости по результатм закупочных процедур</t>
  </si>
  <si>
    <t>план ***</t>
  </si>
  <si>
    <t>скорр
ектирова
нный объем</t>
  </si>
  <si>
    <t>1.</t>
  </si>
  <si>
    <t>в том числе ПТП</t>
  </si>
  <si>
    <t>* - представляется ежегодно до 1 октября текущего года</t>
  </si>
  <si>
    <t>** - в ценах отчетного года</t>
  </si>
  <si>
    <t>*** - план, согласно утвержденной инвестиционной программе</t>
  </si>
  <si>
    <t>**** - накопленным итогом за год</t>
  </si>
  <si>
    <t>№ 
п/п</t>
  </si>
  <si>
    <t>Наименование направления/
проекта 
инвестиционной 
программы</t>
  </si>
  <si>
    <t>Субъект РФ, 
на территории 
которого 
реализауется 
инвестиционный 
проект</t>
  </si>
  <si>
    <t>Место
расположения 
объекта</t>
  </si>
  <si>
    <t>Технические характеристики</t>
  </si>
  <si>
    <t>Используемое топливо</t>
  </si>
  <si>
    <t>Сроки 
реализации 
проекта</t>
  </si>
  <si>
    <t>Наличие исходно-разрешительной документации</t>
  </si>
  <si>
    <t>Процент 
освоения 
сметной стоимости
на 01.01 года N, %</t>
  </si>
  <si>
    <t>Техническая 
готовность 
объекта
на 01.01.2011, %
**</t>
  </si>
  <si>
    <t>Стоимость объекта,
млн.рублей</t>
  </si>
  <si>
    <t>Остаточная 
стоимость 
объекта
на 01.01. года N, 
млн.рублей</t>
  </si>
  <si>
    <t>Обоснование необходимости реализации проекта</t>
  </si>
  <si>
    <t>Показатели 
экономической эффективноскти реализации инвестиционного 
проекта ****</t>
  </si>
  <si>
    <t>мощность, 
МВт, МВА</t>
  </si>
  <si>
    <t>выработка, млн.кВт/ч</t>
  </si>
  <si>
    <t>длина 
ВЛ,
км</t>
  </si>
  <si>
    <t>Год начала
строительства</t>
  </si>
  <si>
    <t>Год ввода в 
эксплуатацию</t>
  </si>
  <si>
    <t>Утвержденная  
проектно-сметная 
документация
(+;-)</t>
  </si>
  <si>
    <t>Заключение 
Главгос
экспертизы 
России (+;-)</t>
  </si>
  <si>
    <t>Оформленный 
в соответствии 
с законо
дательством 
землеотвод (+;-)</t>
  </si>
  <si>
    <t>Разрешение 
на строи
тельство (+;-)</t>
  </si>
  <si>
    <t>в соответствии 
с проектно-
сметной 
документацией ***</t>
  </si>
  <si>
    <t>в соответствии 
с итогами 
конкурсов и заключенными договорами</t>
  </si>
  <si>
    <t>в соответствии 
с проектно-
сметной 
документацией
***</t>
  </si>
  <si>
    <t>решаемые 
задачи *</t>
  </si>
  <si>
    <t>режимно-балансовая 
необходимость</t>
  </si>
  <si>
    <t>основание включения 
инвестиционного проекта 
в инвестиционную программу 
(решение Правительства РФ, 
федеральные, региональные 
и муниципальные 
программы и др.)</t>
  </si>
  <si>
    <t xml:space="preserve">доходность </t>
  </si>
  <si>
    <t>срок
окупаемости</t>
  </si>
  <si>
    <t>NPV, 
млн.
рублей</t>
  </si>
  <si>
    <t>IRR,
%</t>
  </si>
  <si>
    <t>простой</t>
  </si>
  <si>
    <t>дискон
тированный</t>
  </si>
  <si>
    <t>Техническое перевооружение ТП,РП. Замена маслянных выключателей на вакуумные</t>
  </si>
  <si>
    <t>Орловская область</t>
  </si>
  <si>
    <t xml:space="preserve">  +</t>
  </si>
  <si>
    <t xml:space="preserve">  -</t>
  </si>
  <si>
    <t xml:space="preserve">Снижение экс-плуатационных затрат, Повышение экологической и пожарной безопасности, Снижение масса-габаритных размеров, в т. ч. размеров ТП.   </t>
  </si>
  <si>
    <t xml:space="preserve">Техническое перевооружение Замена силовых трансформаторов 10/6/0,4кВ </t>
  </si>
  <si>
    <t xml:space="preserve">Снижение экс-плуатационных затрат, Повышение экологической и пожарной безопасности, Снижение масса-габаритных размеров, в т. ч. размеров ТП, Снижение тех-нических потерь эл. энергии   </t>
  </si>
  <si>
    <t>Техническое перевооружение  ТП,РП.</t>
  </si>
  <si>
    <t xml:space="preserve">Повышение надежности электроснабжения, Снижение эксплуатационных затрат, Обеспечение электробезопасности при эксплуатации. </t>
  </si>
  <si>
    <t>Повышение надежности элек-троснабжения, Снижение экс-плуатационных затрат, Снижение потерь электроэнергии, Увеличение пропускной  способности сети.</t>
  </si>
  <si>
    <t>Повышение надежности электроснабжения, Снижение экс-плуатационных затрат, Снижение потерь электроэнергии.</t>
  </si>
  <si>
    <t>Снос ветхих иаварийных ТП, Обеспечение электробезопасности при эксплуатации, Повышение на-дежности элект-роснабжения и качества эл. Энергии, Снижение экс-плуатационных затрат, Повышение экологической и пожарной безо-пасности, Снижение тех-нических потерь эл. Энергии, Увеличение пропускной  способности сети.</t>
  </si>
  <si>
    <t>Снижение эксплуатационных затрат, Обеспечение электробезопасности при эксплуатации, Обеспечение современных измерительных стандартов, Обеспечение современного контроля качества электроэнергии,</t>
  </si>
  <si>
    <t>Техническое перевооружение РП. Внедрение  микропроцессорной  защиты и автоматики в РП</t>
  </si>
  <si>
    <t>Снижение экс-плуатационных затрат, Ускорение реакции на короткие замыкания, Возможность интеграции в АСУТП, Возможность диагностики РЗА и первичного оборудования</t>
  </si>
  <si>
    <t xml:space="preserve">Снижение экс-плуатационных затрат, Снижение коммерческих потерь, Контроль состояния электрических сетей (в том числе качества электроэнергии) в реальном режиме времени </t>
  </si>
  <si>
    <t>Построение  АСКУЭ  в распределительных сетях 0,4 кВ на вводах в ТП и объекты энергоснабжения</t>
  </si>
  <si>
    <t xml:space="preserve">Снижение эксплуатационных затрат, Снижение коммерческих потерь, Исключение хищений электрической энергии   </t>
  </si>
  <si>
    <t xml:space="preserve">Снижение экс-плуатационных затрат, Улучшение оперативности управления электрическими сетями, Исключение недостоверности состояния электрических сетей   </t>
  </si>
  <si>
    <t>Строительство новых и реконструкция существующих объектов электросетевого хозяйства для обеспечения спроса необходимой  мощности при новом строительстве жилья и объектов инфраструктуры</t>
  </si>
  <si>
    <t xml:space="preserve">* в том числе:
- степень износа  электрооборудования
- срок вывода из эксплуатации электрооборудования
- уровень технического оснащения электрооборудования
- требования Системного оператора к электроэнергетическому объекту, которые необходимы для надежного и бесперебойного электрообеспечения объекта (энергорайона). </t>
  </si>
  <si>
    <t>** - определяется исходя из выполнения графика строительства</t>
  </si>
  <si>
    <t>*** в текущих ценах с НДС с применением коэффициентов пересчета к базовым ценам Мирегион России или иных уполномоченных государственных органов (указать)</t>
  </si>
  <si>
    <t>**** приложить финансовую модель по проекту (приложение 2.3)</t>
  </si>
  <si>
    <t>Приложение  № 2.3</t>
  </si>
  <si>
    <t>Исходные данные</t>
  </si>
  <si>
    <t>Значение</t>
  </si>
  <si>
    <t>Общая стоимость объекта,  руб. без НДС</t>
  </si>
  <si>
    <t>Прочие расходы, руб. без НДС на объект</t>
  </si>
  <si>
    <t>Срок амортизации, лет</t>
  </si>
  <si>
    <t>Собственный капитал</t>
  </si>
  <si>
    <t>Кол-во объектов, ед.</t>
  </si>
  <si>
    <t>Простой период окупаемости, лет</t>
  </si>
  <si>
    <t>Затраты на ремонт объекта, руб. без НДС</t>
  </si>
  <si>
    <t>Дисконтированный период окупаемости, лет</t>
  </si>
  <si>
    <t>Первый  ремонт объекта, лет после постройки</t>
  </si>
  <si>
    <t xml:space="preserve">NPV через 10 лет, руб. </t>
  </si>
  <si>
    <t>Периодичность ремонта объекта, лет</t>
  </si>
  <si>
    <t>Целесообразность реализации проекта</t>
  </si>
  <si>
    <t>Прочие расходы при эксплуатации объекта, руб. без НДС</t>
  </si>
  <si>
    <t>Возникновение прочих расходов, лет после постройки</t>
  </si>
  <si>
    <t>Периодичность расходов, лет</t>
  </si>
  <si>
    <t>Налог на прибыль</t>
  </si>
  <si>
    <t>Прочие расходы, руб. без НДС в месяц</t>
  </si>
  <si>
    <t>Рабочий капитал в % от выручки</t>
  </si>
  <si>
    <t xml:space="preserve">Срок кредита </t>
  </si>
  <si>
    <t>Ставка по кредиту</t>
  </si>
  <si>
    <t>Ставка по кредиту без учета субсидирования</t>
  </si>
  <si>
    <t>Доля заемных средств</t>
  </si>
  <si>
    <t>Ставка дисконтирования на собственный капитал</t>
  </si>
  <si>
    <t>Доля собственных средств</t>
  </si>
  <si>
    <t>WACC</t>
  </si>
  <si>
    <t>Период</t>
  </si>
  <si>
    <t>N+1</t>
  </si>
  <si>
    <t>N+2</t>
  </si>
  <si>
    <t>N+4</t>
  </si>
  <si>
    <t>N+5</t>
  </si>
  <si>
    <t>N+6</t>
  </si>
  <si>
    <t>N+7</t>
  </si>
  <si>
    <t>N+8</t>
  </si>
  <si>
    <t>год окончания 
строительства объекта</t>
  </si>
  <si>
    <t>Прогноз инфляции</t>
  </si>
  <si>
    <t>Кумулятивная инфляция</t>
  </si>
  <si>
    <t xml:space="preserve">Доход, руб. без НДС </t>
  </si>
  <si>
    <t>Кредит, руб.</t>
  </si>
  <si>
    <t>Основной долг на начало периода</t>
  </si>
  <si>
    <t>Поступление кредита</t>
  </si>
  <si>
    <t>Погашение основного долга</t>
  </si>
  <si>
    <t>Начисление процентов</t>
  </si>
  <si>
    <t>БДР, руб.</t>
  </si>
  <si>
    <t>Доход</t>
  </si>
  <si>
    <t>Операционные расходы</t>
  </si>
  <si>
    <t>Ремонт объекта</t>
  </si>
  <si>
    <t>Налог на имущество (После ввода объекта в эксплуатацию)</t>
  </si>
  <si>
    <t>EBITDA</t>
  </si>
  <si>
    <t>Амортизация</t>
  </si>
  <si>
    <t>EBIT</t>
  </si>
  <si>
    <t>Проценты</t>
  </si>
  <si>
    <t>Прибыль до налогообложения</t>
  </si>
  <si>
    <t>Чистая прибыль</t>
  </si>
  <si>
    <t>Денежный поток на собственный капитал, руб.</t>
  </si>
  <si>
    <t>НДС</t>
  </si>
  <si>
    <t>Изменения в рабочем капитале</t>
  </si>
  <si>
    <t>Инвестиции</t>
  </si>
  <si>
    <t>Изменения финансовых обязательств</t>
  </si>
  <si>
    <t>Чистый денежный поток</t>
  </si>
  <si>
    <t>Накопленный ЧДП</t>
  </si>
  <si>
    <t>Коэффициент дисконтирования</t>
  </si>
  <si>
    <t>PV</t>
  </si>
  <si>
    <t>NPV (без учета продажи)</t>
  </si>
  <si>
    <t>IRR</t>
  </si>
  <si>
    <t>PP</t>
  </si>
  <si>
    <t>DPP</t>
  </si>
  <si>
    <t>* форма заполняется:
- в отношении вновь создаваемых объектов, для которых могут применяться расчеты экономической эффективности реализации инвестиционных проектов
- в отношении реконструируемых объектов в том случае, если данный объект после реконструкции "создает" новый финансовый поток
- по проеткам, общая стоимость реализации которых составляет 500 млн.рублей и более</t>
  </si>
  <si>
    <t>Приложение  № 3.1</t>
  </si>
  <si>
    <t>Наименование инвестиционного проекта__________________________________</t>
  </si>
  <si>
    <t>по состоянию на ____ 20_____ г.</t>
  </si>
  <si>
    <t>№</t>
  </si>
  <si>
    <t xml:space="preserve">Наименование контрольных этапов реализации инвестпроекта с указанием событий/работ критического пути сетевого графика * </t>
  </si>
  <si>
    <t>Выполнение (план)</t>
  </si>
  <si>
    <t>Процент исполнения  работ за весь период (%)</t>
  </si>
  <si>
    <t>Основные причины невыполнения</t>
  </si>
  <si>
    <t>начало (дата)</t>
  </si>
  <si>
    <t>окончание (дата)</t>
  </si>
  <si>
    <t>* - заполняется в соответствии с приложением 3.2</t>
  </si>
  <si>
    <t>Приложение  № 3.2</t>
  </si>
  <si>
    <t>Наименование</t>
  </si>
  <si>
    <t>Тип</t>
  </si>
  <si>
    <t xml:space="preserve">Предпроектный этап </t>
  </si>
  <si>
    <t xml:space="preserve">Выбор площадки строительства </t>
  </si>
  <si>
    <t xml:space="preserve">событие </t>
  </si>
  <si>
    <t>Проведение инженерных изысканий на выбранной площадке строительства</t>
  </si>
  <si>
    <t>работа</t>
  </si>
  <si>
    <t>Проектный этап</t>
  </si>
  <si>
    <t>Заключение договора на разработку ТЭО</t>
  </si>
  <si>
    <t>событие</t>
  </si>
  <si>
    <t>Заключение договора на разработку рабочего проекта</t>
  </si>
  <si>
    <t>Разработка и утверждение ТЭО</t>
  </si>
  <si>
    <t>2.4.</t>
  </si>
  <si>
    <t>Разработка рабочего проекта</t>
  </si>
  <si>
    <t>2.5.</t>
  </si>
  <si>
    <t>Получение положительного заключения государственной экспертизы на ТЭО</t>
  </si>
  <si>
    <t>2.6.</t>
  </si>
  <si>
    <t>Получение разрешения на строительство</t>
  </si>
  <si>
    <t>Организационный этап</t>
  </si>
  <si>
    <t>Заключение договора с генеральным подрядчиком (EPC, EPCM) или договоров с основными подрядчиками</t>
  </si>
  <si>
    <t>Получение правоустанавливающих документов на земельный участк под строительство</t>
  </si>
  <si>
    <t>3.3.</t>
  </si>
  <si>
    <t xml:space="preserve">Заключение договоров на поставщику основного оборудования </t>
  </si>
  <si>
    <t>3.3.1.</t>
  </si>
  <si>
    <t>График поставки основного оборудования на объект</t>
  </si>
  <si>
    <t>Строительные работы</t>
  </si>
  <si>
    <t>Подготовка площадки строительства</t>
  </si>
  <si>
    <t xml:space="preserve">Строительство основных сооружений (главного корпуса, гидротехнических сооружений, объектов топливного хозяйства, технического водоснабжения и др.) </t>
  </si>
  <si>
    <t>Сдача основных сооружений под монтаж оборудования</t>
  </si>
  <si>
    <t>4.4.</t>
  </si>
  <si>
    <t>Монтаж и ввод в работу грузоподъёмных механизмов для монтажа основного оборудования</t>
  </si>
  <si>
    <t>4.5.</t>
  </si>
  <si>
    <t>Монтаж  основного оборудования и трубопроводов</t>
  </si>
  <si>
    <t>4.6.</t>
  </si>
  <si>
    <t>Монтаж электротехнического оборудования и КиП</t>
  </si>
  <si>
    <t>Реализация схемы выдачи мощности (в объеме обязательств ГК)</t>
  </si>
  <si>
    <t>5.1.</t>
  </si>
  <si>
    <t>Заявка в сетевую компанию на технологическое присоединение</t>
  </si>
  <si>
    <t>5.2.</t>
  </si>
  <si>
    <t>Заключение договора с сетевой компанией на ТП. Получение и соглаование ТУ и ТП</t>
  </si>
  <si>
    <t>5.3.</t>
  </si>
  <si>
    <t>Разработка и согласование предпроектной внестадийной работы "Схема выдачи мощности"</t>
  </si>
  <si>
    <t>5.4.</t>
  </si>
  <si>
    <t>Заключение договора на реалиацию схемы выдачи мощности с согласованием графика строительства</t>
  </si>
  <si>
    <t>5.5.</t>
  </si>
  <si>
    <t>Разработка рабочей документацией сетевого строительства ГК (если таковое требуется для реализации СВМ)</t>
  </si>
  <si>
    <t>5.6.</t>
  </si>
  <si>
    <t>Реализация сетевого строительства ГК (если таковое требуется для реализации СВМ)</t>
  </si>
  <si>
    <t>Испытания и ввод в эксплуатацию</t>
  </si>
  <si>
    <t xml:space="preserve">Индивидуальные испытания оборудования и функциональные испытания отдельных систем. </t>
  </si>
  <si>
    <t>Комплексное опробование оборудования</t>
  </si>
  <si>
    <t>Готовность оборудования (ОРУ, ЗРУ) для технологического присоединения к электрическим сетям</t>
  </si>
  <si>
    <t>6.4.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</si>
  <si>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</si>
  <si>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>II. Контрольные этапы реализации инвестиционного проекта для сетевых компаний</t>
  </si>
  <si>
    <t>Предпроектный и проектный этап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</si>
  <si>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</si>
  <si>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</si>
  <si>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</si>
  <si>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</si>
  <si>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1.5.</t>
  </si>
  <si>
    <t>Утверждение проектной документации</t>
  </si>
  <si>
    <t>1.6.</t>
  </si>
  <si>
    <t>Техперевооружение РП. Внедрение микропроцессорной релейной защиты и автоматики в      РП-3;  С-2-3</t>
  </si>
  <si>
    <t>Техперевооружение РП. Внедрение микропроцессорной релейной защиты и автоматики в РП-4; ОЛ-42, 47</t>
  </si>
  <si>
    <t>Техперевооружение РП. Внедрение микропроцессорной релейной защиты и автоматики в       РП-6; ОЛ-60, 61, 64</t>
  </si>
  <si>
    <t>Техперевооружение РП. Внедрение микропроцессорной релейной защиты и автоматики в РП-7; ОЛ-75, 76, СР</t>
  </si>
  <si>
    <t>Техперевооружение РП. Внедрение микропроцессорной релейной защиты и автоматики в РП-9; ОЛ 638, 613, 99</t>
  </si>
  <si>
    <t>Разработка рабочей документации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</si>
  <si>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</si>
  <si>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</si>
  <si>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</si>
  <si>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</si>
  <si>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я</t>
  </si>
  <si>
    <t>Подготовка площадки строительства для подстанций, трассы – для ЛЭП</t>
  </si>
  <si>
    <t>Поставка основного оборудования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</si>
  <si>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</si>
  <si>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</si>
  <si>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</si>
  <si>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</si>
  <si>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</si>
  <si>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 xml:space="preserve">Комплексное опробование оборудования </t>
  </si>
  <si>
    <t>Оформление (подписание) актов об осуществлении технологического присоединения к электрическим сетям</t>
  </si>
  <si>
    <t xml:space="preserve">Получение разрешения на ввод объекта в эксплуатацию. </t>
  </si>
  <si>
    <t xml:space="preserve"> Ввод в эксплуатацию объекта сетевого строительства</t>
  </si>
  <si>
    <t>Генеральный директор</t>
  </si>
  <si>
    <t>А.В.  Перьков</t>
  </si>
  <si>
    <t>«___»________ 2012 года</t>
  </si>
  <si>
    <t>млн. рублей</t>
  </si>
  <si>
    <t>Показатели</t>
  </si>
  <si>
    <t xml:space="preserve">   Всего</t>
  </si>
  <si>
    <t>I.</t>
  </si>
  <si>
    <t>Выручка от реализации товаров (работ, услуг),   всего</t>
  </si>
  <si>
    <t>в том числе:</t>
  </si>
  <si>
    <t>Выручка от передачи электроэнергии</t>
  </si>
  <si>
    <t>Выручка от техприсоединения</t>
  </si>
  <si>
    <t>Выручка от прочей деятельности</t>
  </si>
  <si>
    <t>II.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</si>
  <si>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</si>
  <si>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</si>
  <si>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</si>
  <si>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</si>
  <si>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</si>
  <si>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</si>
  <si>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3.</t>
  </si>
  <si>
    <t>Амортизационные отчисления</t>
  </si>
  <si>
    <t>4.</t>
  </si>
  <si>
    <t>Налоги  и сборы, всего</t>
  </si>
  <si>
    <t>Прочие расходы, всего</t>
  </si>
  <si>
    <t>Ремонт основных средств</t>
  </si>
  <si>
    <t>Платежи по аренде и лизингу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</si>
  <si>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</si>
  <si>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</si>
  <si>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</si>
  <si>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</si>
  <si>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</si>
  <si>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</si>
  <si>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</si>
  <si>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</si>
  <si>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</si>
  <si>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</si>
  <si>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</si>
  <si>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</si>
  <si>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налоообложения (III + IV)</t>
  </si>
  <si>
    <t>VI.</t>
  </si>
  <si>
    <t>VII.</t>
  </si>
  <si>
    <t xml:space="preserve">Чистая прибыль  </t>
  </si>
  <si>
    <t>VIII.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</si>
  <si>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</si>
  <si>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</si>
  <si>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</si>
  <si>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</si>
  <si>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</si>
  <si>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</si>
  <si>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</si>
  <si>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</si>
  <si>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</si>
  <si>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</si>
  <si>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</si>
  <si>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</si>
  <si>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</si>
  <si>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</si>
  <si>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</si>
  <si>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</si>
  <si>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</si>
  <si>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</si>
  <si>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</si>
  <si>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</si>
  <si>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</si>
  <si>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</si>
  <si>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</si>
  <si>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</si>
  <si>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</si>
  <si>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</si>
  <si>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</si>
  <si>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</si>
  <si>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</si>
  <si>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</si>
  <si>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</si>
  <si>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</si>
  <si>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</si>
  <si>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</si>
  <si>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</si>
  <si>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</si>
  <si>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</si>
  <si>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</si>
  <si>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Долг на конец периода</t>
  </si>
  <si>
    <t>Прогноз тарифов</t>
  </si>
  <si>
    <t>Помощник генерального директора по ФЭВ                                                     Т.Г. Парамонова</t>
  </si>
  <si>
    <t>Источники финансирования инвестиционных программ 
(в прогнозных ценах соответствующих лет), тыс. рублей</t>
  </si>
  <si>
    <t>ОАО «Орелоблэнерго»</t>
  </si>
  <si>
    <t>А.В. Перьков</t>
  </si>
  <si>
    <t>____________</t>
  </si>
  <si>
    <t>Источник финансирования</t>
  </si>
  <si>
    <t>План  2012</t>
  </si>
  <si>
    <t>План 2013</t>
  </si>
  <si>
    <t>План  2014</t>
  </si>
  <si>
    <t>План  2015</t>
  </si>
  <si>
    <t>План  2016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</si>
  <si>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</si>
  <si>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</si>
  <si>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</si>
  <si>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 xml:space="preserve">в т.ч. прибыль со свободного сектора 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</si>
  <si>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</si>
  <si>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</si>
  <si>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</si>
  <si>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</si>
  <si>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</si>
  <si>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Прочая прибыль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</si>
  <si>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</si>
  <si>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</si>
  <si>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</si>
  <si>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</si>
  <si>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</si>
  <si>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</si>
  <si>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Возврат НДС</t>
  </si>
  <si>
    <t>Прочие собственные средства</t>
  </si>
  <si>
    <t xml:space="preserve">1.4.1. 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</si>
  <si>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</si>
  <si>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</si>
  <si>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</si>
  <si>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</si>
  <si>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</si>
  <si>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</si>
  <si>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</si>
  <si>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</si>
  <si>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</si>
  <si>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</si>
  <si>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</si>
  <si>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</si>
  <si>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</si>
  <si>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</si>
  <si>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</si>
  <si>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Помощник генерального директора по ФЭВ                                       Т.Г. Парамонова</t>
  </si>
  <si>
    <t>Приложение  № 4.3</t>
  </si>
  <si>
    <t xml:space="preserve">. . . </t>
  </si>
  <si>
    <t>Выручка</t>
  </si>
  <si>
    <t>Продукт 1</t>
  </si>
  <si>
    <t>Продукт 2</t>
  </si>
  <si>
    <t>Продукт 3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</si>
  <si>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</si>
  <si>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</si>
  <si>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</si>
  <si>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</si>
  <si>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</si>
  <si>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</si>
  <si>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>Внереализационные расходы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</si>
  <si>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</si>
  <si>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</si>
  <si>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</si>
  <si>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Поступления</t>
  </si>
  <si>
    <t>Выбытия</t>
  </si>
  <si>
    <t>Платежи по прямой себестоимости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</si>
  <si>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</si>
  <si>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</si>
  <si>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</si>
  <si>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</si>
  <si>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</si>
  <si>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</si>
  <si>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</si>
  <si>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</si>
  <si>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Погашение кредитов и займов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</si>
  <si>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</si>
  <si>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</si>
  <si>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</si>
  <si>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</si>
  <si>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 xml:space="preserve">Увеличение капитализации 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</si>
  <si>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</si>
  <si>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</si>
  <si>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</si>
  <si>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</si>
  <si>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</si>
  <si>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</si>
  <si>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 xml:space="preserve">       ОАО «Орелоблэнерго»</t>
  </si>
  <si>
    <t>«___»________ 2011 года</t>
  </si>
  <si>
    <t>тыс. рублей</t>
  </si>
  <si>
    <t>Год 2009</t>
  </si>
  <si>
    <t>Год 2010</t>
  </si>
  <si>
    <t>факт</t>
  </si>
  <si>
    <t>Выручка от прочей деятельности (расшифровать)</t>
  </si>
  <si>
    <t>Помощник генерального директора по ФЭВ-начальник ПЭО                                                       Т.Г. Парамонова</t>
  </si>
  <si>
    <t>Приложение  № 6.1</t>
  </si>
  <si>
    <t xml:space="preserve">Остаток стоимости на начало года * </t>
  </si>
  <si>
    <t>Освоено 
(закрыто актами 
выполненных работ)
млн.рублей</t>
  </si>
  <si>
    <t>Введено 
(оформлено актами ввода в эксплуатацию)
млн.рублей</t>
  </si>
  <si>
    <t>Осталось профинансировать по результатам отчетного периода *</t>
  </si>
  <si>
    <t>Отклонение ***</t>
  </si>
  <si>
    <t>Причины отклонений</t>
  </si>
  <si>
    <t>план**</t>
  </si>
  <si>
    <t>факт***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</si>
  <si>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</si>
  <si>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</si>
  <si>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</si>
  <si>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Отчет об источниках финансирования инвестиционных программ, тыс. рублей 
(представляется ежегодно)</t>
  </si>
  <si>
    <t xml:space="preserve">                 Генеральный директор</t>
  </si>
  <si>
    <t xml:space="preserve">                                              ОАО «Орелоблэнерго»</t>
  </si>
  <si>
    <t>План 2010 г.</t>
  </si>
  <si>
    <t>Факт 2010 г.</t>
  </si>
  <si>
    <t>* план в соответствии с утвержденной инвестиционной программой</t>
  </si>
  <si>
    <t>** накопленным итогом за год</t>
  </si>
  <si>
    <t>Помощник генерального директора по ФЭВ-начальник ПЭО                                              Т.Г. Парамонова</t>
  </si>
  <si>
    <t>Приложение  № 6.3</t>
  </si>
  <si>
    <t>Вывод мощностей</t>
  </si>
  <si>
    <t>план*</t>
  </si>
  <si>
    <t>Приложение  № 7.1</t>
  </si>
  <si>
    <t>Введено оформлено актами ввода в эксплуатацию)
млн.рублей</t>
  </si>
  <si>
    <t>за отчетный 
квартал</t>
  </si>
  <si>
    <t>за отчетный квартал</t>
  </si>
  <si>
    <t>Приложение  №  7.2</t>
  </si>
  <si>
    <t>Отчет об исполнении основных этапов работ по реализации инвестиционной программы компании в отчетном году
(представляется ежеквартально)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</si>
  <si>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</si>
  <si>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</si>
  <si>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</si>
  <si>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</si>
  <si>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 xml:space="preserve">Объект 1 </t>
  </si>
  <si>
    <t>** - согласно проектно-сметной документации с учетом перевода в прогнозные цены планируемого периода с НДС</t>
  </si>
  <si>
    <t>Приложение  № 8</t>
  </si>
  <si>
    <t>факт**</t>
  </si>
  <si>
    <t>Приложение  № 9</t>
  </si>
  <si>
    <t>1 кв. 2009 г.</t>
  </si>
  <si>
    <t>2 кв. 2009 г.</t>
  </si>
  <si>
    <t>3 кв. 2009 г.</t>
  </si>
  <si>
    <t>4 кв. 2009 г.</t>
  </si>
  <si>
    <t>2010 г.</t>
  </si>
  <si>
    <t>Приложение  № 10</t>
  </si>
  <si>
    <t>Местоположение объекта (субъект РФ, населенный пункт)</t>
  </si>
  <si>
    <t>Тип проекта</t>
  </si>
  <si>
    <t>[модернизация/ реконструкция/ новое строительство/расширение]</t>
  </si>
  <si>
    <t>Вводимая мощность (в том числе прирост)</t>
  </si>
  <si>
    <t>Срок ввода объекта</t>
  </si>
  <si>
    <t>[срок, установленный инвестиционной программой]</t>
  </si>
  <si>
    <t>Фактическая стадия реализации проекта на отчётную дату</t>
  </si>
  <si>
    <t>[проектирование/ строительство/ незавершенное строительство – приостановлено/ законсервировано]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</si>
</sst>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#.0000"/>
    <numFmt numFmtId="166" formatCode="#,##0.0000"/>
    <numFmt numFmtId="167" formatCode="#,##0.000"/>
    <numFmt numFmtId="168" formatCode="0.0000"/>
    <numFmt numFmtId="169" formatCode="0.0"/>
    <numFmt numFmtId="170" formatCode="0.000000"/>
    <numFmt numFmtId="171" formatCode="#,##0.000000"/>
    <numFmt numFmtId="172" formatCode="\ #,##0\ ;&quot; (&quot;#,##0\);&quot; - &quot;;@\ "/>
    <numFmt numFmtId="173" formatCode="#,##0.0"/>
    <numFmt numFmtId="174" formatCode="0.0%"/>
    <numFmt numFmtId="175" formatCode="\ #,##0.00\ ;&quot; (&quot;#,##0.00\);&quot; - &quot;;@\ "/>
    <numFmt numFmtId="176" formatCode="\ #,##0;\(#,##0\);&quot; -&quot;#;@"/>
    <numFmt numFmtId="177" formatCode="0.00000"/>
    <numFmt numFmtId="178" formatCode="#,##0.00000"/>
  </numFmts>
  <fonts count="61">
    <font>
      <sz val="12"/>
      <name val="SimSun"/>
      <family val="2"/>
    </font>
    <font>
      <sz val="10"/>
      <name val="Arial"/>
      <family val="0"/>
    </font>
    <font>
      <sz val="10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63"/>
      <name val="Times New Roman"/>
      <family val="1"/>
    </font>
    <font>
      <b/>
      <sz val="11"/>
      <color indexed="9"/>
      <name val="Times New Roman"/>
      <family val="1"/>
    </font>
    <font>
      <i/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13"/>
      <color indexed="8"/>
      <name val="Times New Roman"/>
      <family val="1"/>
    </font>
    <font>
      <sz val="8"/>
      <name val="SimSun"/>
      <family val="2"/>
    </font>
    <font>
      <sz val="12"/>
      <color indexed="8"/>
      <name val="SimSun"/>
      <family val="0"/>
    </font>
    <font>
      <sz val="9"/>
      <name val="Tahoma"/>
      <family val="2"/>
    </font>
    <font>
      <b/>
      <sz val="9"/>
      <name val="Tahoma"/>
      <family val="2"/>
    </font>
    <font>
      <b/>
      <sz val="16"/>
      <name val="Times New Roman"/>
      <family val="1"/>
    </font>
    <font>
      <vertAlign val="subscript"/>
      <sz val="10"/>
      <color indexed="8"/>
      <name val="Calibri"/>
      <family val="2"/>
    </font>
    <font>
      <vertAlign val="subscript"/>
      <sz val="7"/>
      <color indexed="8"/>
      <name val="Calibri"/>
      <family val="2"/>
    </font>
    <font>
      <vertAlign val="subscript"/>
      <sz val="5.7"/>
      <color indexed="8"/>
      <name val="Calibri"/>
      <family val="2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62"/>
      <name val="Times New Roman"/>
      <family val="2"/>
    </font>
    <font>
      <b/>
      <sz val="13"/>
      <color indexed="63"/>
      <name val="Times New Roman"/>
      <family val="2"/>
    </font>
    <font>
      <b/>
      <sz val="13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3"/>
      <color indexed="9"/>
      <name val="Times New Roman"/>
      <family val="2"/>
    </font>
    <font>
      <b/>
      <sz val="18"/>
      <color indexed="62"/>
      <name val="Cambria"/>
      <family val="2"/>
    </font>
    <font>
      <sz val="13"/>
      <color indexed="60"/>
      <name val="Times New Roman"/>
      <family val="2"/>
    </font>
    <font>
      <sz val="13"/>
      <color indexed="20"/>
      <name val="Times New Roman"/>
      <family val="2"/>
    </font>
    <font>
      <i/>
      <sz val="13"/>
      <color indexed="23"/>
      <name val="Times New Roman"/>
      <family val="2"/>
    </font>
    <font>
      <sz val="13"/>
      <color indexed="52"/>
      <name val="Times New Roman"/>
      <family val="2"/>
    </font>
    <font>
      <sz val="13"/>
      <color indexed="10"/>
      <name val="Times New Roman"/>
      <family val="2"/>
    </font>
    <font>
      <sz val="13"/>
      <color indexed="17"/>
      <name val="Times New Roman"/>
      <family val="2"/>
    </font>
    <font>
      <b/>
      <vertAlign val="subscript"/>
      <sz val="8"/>
      <color indexed="8"/>
      <name val="Calibri"/>
      <family val="2"/>
    </font>
    <font>
      <b/>
      <sz val="8"/>
      <name val="SimSun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3" borderId="0" applyNumberFormat="0" applyBorder="0" applyAlignment="0" applyProtection="0"/>
    <xf numFmtId="0" fontId="43" fillId="6" borderId="0" applyNumberFormat="0" applyBorder="0" applyAlignment="0" applyProtection="0"/>
    <xf numFmtId="0" fontId="43" fillId="8" borderId="0" applyNumberFormat="0" applyBorder="0" applyAlignment="0" applyProtection="0"/>
    <xf numFmtId="0" fontId="43" fillId="5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3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5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45" fillId="5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51" fillId="14" borderId="7" applyNumberFormat="0" applyAlignment="0" applyProtection="0"/>
    <xf numFmtId="0" fontId="52" fillId="0" borderId="0" applyNumberFormat="0" applyFill="0" applyBorder="0" applyAlignment="0" applyProtection="0"/>
    <xf numFmtId="0" fontId="53" fillId="15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16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15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" borderId="0" applyNumberFormat="0" applyBorder="0" applyAlignment="0" applyProtection="0"/>
  </cellStyleXfs>
  <cellXfs count="7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16" fontId="5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5" fillId="17" borderId="16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15" xfId="0" applyFont="1" applyFill="1" applyBorder="1" applyAlignment="1">
      <alignment wrapText="1"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5" fillId="17" borderId="20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17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18" borderId="17" xfId="0" applyFont="1" applyFill="1" applyBorder="1" applyAlignment="1">
      <alignment/>
    </xf>
    <xf numFmtId="0" fontId="5" fillId="0" borderId="20" xfId="0" applyFont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right"/>
    </xf>
    <xf numFmtId="2" fontId="7" fillId="0" borderId="0" xfId="0" applyNumberFormat="1" applyFont="1" applyAlignment="1">
      <alignment horizontal="right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16" fontId="8" fillId="0" borderId="15" xfId="0" applyNumberFormat="1" applyFont="1" applyFill="1" applyBorder="1" applyAlignment="1">
      <alignment horizontal="center" vertical="center" wrapText="1"/>
    </xf>
    <xf numFmtId="16" fontId="8" fillId="0" borderId="15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7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49" fontId="8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1" fontId="8" fillId="0" borderId="0" xfId="0" applyNumberFormat="1" applyFont="1" applyAlignment="1">
      <alignment horizontal="left" vertical="top"/>
    </xf>
    <xf numFmtId="0" fontId="10" fillId="0" borderId="0" xfId="0" applyFont="1" applyFill="1" applyBorder="1" applyAlignment="1">
      <alignment/>
    </xf>
    <xf numFmtId="2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/>
    </xf>
    <xf numFmtId="2" fontId="8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left" vertical="center" wrapText="1"/>
    </xf>
    <xf numFmtId="164" fontId="3" fillId="0" borderId="15" xfId="0" applyNumberFormat="1" applyFont="1" applyFill="1" applyBorder="1" applyAlignment="1">
      <alignment/>
    </xf>
    <xf numFmtId="168" fontId="8" fillId="0" borderId="15" xfId="0" applyNumberFormat="1" applyFont="1" applyFill="1" applyBorder="1" applyAlignment="1">
      <alignment horizontal="left" vertical="center" wrapText="1"/>
    </xf>
    <xf numFmtId="164" fontId="13" fillId="0" borderId="15" xfId="0" applyNumberFormat="1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0" xfId="0" applyFont="1" applyFill="1" applyAlignment="1">
      <alignment/>
    </xf>
    <xf numFmtId="168" fontId="8" fillId="0" borderId="15" xfId="0" applyNumberFormat="1" applyFont="1" applyFill="1" applyBorder="1" applyAlignment="1">
      <alignment/>
    </xf>
    <xf numFmtId="168" fontId="3" fillId="0" borderId="15" xfId="0" applyNumberFormat="1" applyFont="1" applyFill="1" applyBorder="1" applyAlignment="1">
      <alignment horizontal="left" vertical="center" wrapText="1"/>
    </xf>
    <xf numFmtId="168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54" applyFont="1" applyFill="1">
      <alignment/>
      <protection/>
    </xf>
    <xf numFmtId="168" fontId="8" fillId="0" borderId="15" xfId="0" applyNumberFormat="1" applyFont="1" applyFill="1" applyBorder="1" applyAlignment="1">
      <alignment horizontal="center" vertical="center" wrapText="1"/>
    </xf>
    <xf numFmtId="169" fontId="3" fillId="0" borderId="15" xfId="0" applyNumberFormat="1" applyFont="1" applyFill="1" applyBorder="1" applyAlignment="1">
      <alignment horizontal="center" vertical="center" wrapText="1"/>
    </xf>
    <xf numFmtId="16" fontId="8" fillId="0" borderId="15" xfId="0" applyNumberFormat="1" applyFont="1" applyFill="1" applyBorder="1" applyAlignment="1">
      <alignment vertical="center" wrapText="1"/>
    </xf>
    <xf numFmtId="2" fontId="3" fillId="0" borderId="15" xfId="0" applyNumberFormat="1" applyFont="1" applyFill="1" applyBorder="1" applyAlignment="1">
      <alignment horizontal="left" vertical="center" wrapText="1"/>
    </xf>
    <xf numFmtId="170" fontId="3" fillId="0" borderId="15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wrapText="1"/>
    </xf>
    <xf numFmtId="171" fontId="3" fillId="0" borderId="15" xfId="0" applyNumberFormat="1" applyFont="1" applyFill="1" applyBorder="1" applyAlignment="1">
      <alignment horizontal="left" vertical="center" wrapText="1"/>
    </xf>
    <xf numFmtId="170" fontId="8" fillId="0" borderId="15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170" fontId="3" fillId="0" borderId="15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left"/>
    </xf>
    <xf numFmtId="170" fontId="8" fillId="0" borderId="15" xfId="0" applyNumberFormat="1" applyFont="1" applyFill="1" applyBorder="1" applyAlignment="1">
      <alignment horizontal="center"/>
    </xf>
    <xf numFmtId="170" fontId="8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1" fontId="8" fillId="0" borderId="0" xfId="0" applyNumberFormat="1" applyFont="1" applyFill="1" applyAlignment="1">
      <alignment horizontal="left" vertical="top"/>
    </xf>
    <xf numFmtId="164" fontId="3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top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16" fillId="0" borderId="0" xfId="0" applyNumberFormat="1" applyFont="1" applyAlignment="1">
      <alignment horizontal="right" vertical="top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" fontId="8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6" fontId="8" fillId="0" borderId="3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2" fontId="3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 vertical="top" wrapText="1"/>
    </xf>
    <xf numFmtId="0" fontId="19" fillId="0" borderId="1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16" fontId="4" fillId="0" borderId="15" xfId="0" applyNumberFormat="1" applyFont="1" applyFill="1" applyBorder="1" applyAlignment="1">
      <alignment horizontal="left" vertical="top" wrapText="1"/>
    </xf>
    <xf numFmtId="0" fontId="17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top" wrapText="1"/>
    </xf>
    <xf numFmtId="164" fontId="17" fillId="0" borderId="15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top" wrapText="1"/>
    </xf>
    <xf numFmtId="0" fontId="17" fillId="0" borderId="19" xfId="0" applyFont="1" applyBorder="1" applyAlignment="1">
      <alignment vertical="center"/>
    </xf>
    <xf numFmtId="0" fontId="17" fillId="0" borderId="19" xfId="0" applyFont="1" applyBorder="1" applyAlignment="1">
      <alignment vertical="center" wrapText="1"/>
    </xf>
    <xf numFmtId="164" fontId="17" fillId="0" borderId="19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 wrapText="1"/>
    </xf>
    <xf numFmtId="0" fontId="17" fillId="0" borderId="2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53" applyFont="1" applyAlignment="1">
      <alignment horizontal="right" vertical="center"/>
      <protection/>
    </xf>
    <xf numFmtId="0" fontId="1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2" fontId="16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3" fontId="22" fillId="0" borderId="35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3" fontId="22" fillId="0" borderId="36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" fontId="22" fillId="0" borderId="37" xfId="0" applyNumberFormat="1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" fontId="23" fillId="0" borderId="15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4" fillId="0" borderId="0" xfId="0" applyFont="1" applyAlignment="1">
      <alignment vertical="center"/>
    </xf>
    <xf numFmtId="3" fontId="23" fillId="0" borderId="15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3" fontId="22" fillId="0" borderId="39" xfId="0" applyNumberFormat="1" applyFont="1" applyBorder="1" applyAlignment="1">
      <alignment vertical="center"/>
    </xf>
    <xf numFmtId="10" fontId="22" fillId="0" borderId="37" xfId="0" applyNumberFormat="1" applyFont="1" applyBorder="1" applyAlignment="1">
      <alignment vertical="center"/>
    </xf>
    <xf numFmtId="9" fontId="22" fillId="0" borderId="39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3" fontId="22" fillId="0" borderId="24" xfId="0" applyNumberFormat="1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10" fontId="22" fillId="0" borderId="42" xfId="0" applyNumberFormat="1" applyFont="1" applyBorder="1" applyAlignment="1">
      <alignment vertical="center"/>
    </xf>
    <xf numFmtId="10" fontId="22" fillId="0" borderId="25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0" fontId="22" fillId="0" borderId="38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10" fontId="22" fillId="0" borderId="15" xfId="0" applyNumberFormat="1" applyFont="1" applyFill="1" applyBorder="1" applyAlignment="1">
      <alignment vertical="center"/>
    </xf>
    <xf numFmtId="10" fontId="22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2" fontId="22" fillId="0" borderId="19" xfId="0" applyNumberFormat="1" applyFont="1" applyFill="1" applyBorder="1" applyAlignment="1">
      <alignment vertical="center"/>
    </xf>
    <xf numFmtId="4" fontId="22" fillId="0" borderId="19" xfId="0" applyNumberFormat="1" applyFont="1" applyFill="1" applyBorder="1" applyAlignment="1">
      <alignment vertical="center"/>
    </xf>
    <xf numFmtId="4" fontId="22" fillId="0" borderId="21" xfId="0" applyNumberFormat="1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4" xfId="0" applyFont="1" applyBorder="1" applyAlignment="1">
      <alignment vertical="center"/>
    </xf>
    <xf numFmtId="3" fontId="22" fillId="0" borderId="15" xfId="0" applyNumberFormat="1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3" fontId="22" fillId="0" borderId="19" xfId="0" applyNumberFormat="1" applyFont="1" applyBorder="1" applyAlignment="1">
      <alignment vertical="center"/>
    </xf>
    <xf numFmtId="3" fontId="22" fillId="0" borderId="21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172" fontId="25" fillId="0" borderId="15" xfId="0" applyNumberFormat="1" applyFont="1" applyBorder="1" applyAlignment="1">
      <alignment vertical="center"/>
    </xf>
    <xf numFmtId="172" fontId="25" fillId="0" borderId="17" xfId="0" applyNumberFormat="1" applyFont="1" applyBorder="1" applyAlignment="1">
      <alignment vertical="center"/>
    </xf>
    <xf numFmtId="172" fontId="22" fillId="0" borderId="15" xfId="0" applyNumberFormat="1" applyFont="1" applyBorder="1" applyAlignment="1">
      <alignment vertical="center"/>
    </xf>
    <xf numFmtId="172" fontId="22" fillId="0" borderId="17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172" fontId="25" fillId="0" borderId="19" xfId="0" applyNumberFormat="1" applyFont="1" applyBorder="1" applyAlignment="1">
      <alignment vertical="center"/>
    </xf>
    <xf numFmtId="172" fontId="25" fillId="0" borderId="21" xfId="0" applyNumberFormat="1" applyFont="1" applyBorder="1" applyAlignment="1">
      <alignment vertical="center"/>
    </xf>
    <xf numFmtId="173" fontId="22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vertical="center"/>
    </xf>
    <xf numFmtId="172" fontId="22" fillId="0" borderId="15" xfId="0" applyNumberFormat="1" applyFont="1" applyFill="1" applyBorder="1" applyAlignment="1">
      <alignment vertical="center"/>
    </xf>
    <xf numFmtId="172" fontId="22" fillId="0" borderId="17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167" fontId="22" fillId="0" borderId="15" xfId="0" applyNumberFormat="1" applyFont="1" applyBorder="1" applyAlignment="1">
      <alignment horizontal="center" vertical="center"/>
    </xf>
    <xf numFmtId="167" fontId="22" fillId="0" borderId="17" xfId="0" applyNumberFormat="1" applyFont="1" applyBorder="1" applyAlignment="1">
      <alignment horizontal="center" vertical="center"/>
    </xf>
    <xf numFmtId="0" fontId="19" fillId="0" borderId="14" xfId="0" applyFont="1" applyFill="1" applyBorder="1" applyAlignment="1">
      <alignment vertical="center"/>
    </xf>
    <xf numFmtId="172" fontId="25" fillId="0" borderId="15" xfId="0" applyNumberFormat="1" applyFont="1" applyFill="1" applyBorder="1" applyAlignment="1">
      <alignment vertical="center"/>
    </xf>
    <xf numFmtId="172" fontId="25" fillId="0" borderId="17" xfId="0" applyNumberFormat="1" applyFont="1" applyFill="1" applyBorder="1" applyAlignment="1">
      <alignment vertical="center"/>
    </xf>
    <xf numFmtId="172" fontId="19" fillId="0" borderId="0" xfId="0" applyNumberFormat="1" applyFont="1" applyBorder="1" applyAlignment="1">
      <alignment vertical="center"/>
    </xf>
    <xf numFmtId="174" fontId="25" fillId="0" borderId="15" xfId="0" applyNumberFormat="1" applyFont="1" applyFill="1" applyBorder="1" applyAlignment="1">
      <alignment vertical="center"/>
    </xf>
    <xf numFmtId="174" fontId="25" fillId="0" borderId="17" xfId="0" applyNumberFormat="1" applyFont="1" applyFill="1" applyBorder="1" applyAlignment="1">
      <alignment vertical="center"/>
    </xf>
    <xf numFmtId="175" fontId="25" fillId="0" borderId="15" xfId="0" applyNumberFormat="1" applyFont="1" applyFill="1" applyBorder="1" applyAlignment="1">
      <alignment vertical="center"/>
    </xf>
    <xf numFmtId="175" fontId="25" fillId="0" borderId="17" xfId="0" applyNumberFormat="1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175" fontId="25" fillId="0" borderId="19" xfId="0" applyNumberFormat="1" applyFont="1" applyFill="1" applyBorder="1" applyAlignment="1">
      <alignment vertical="center"/>
    </xf>
    <xf numFmtId="175" fontId="25" fillId="0" borderId="21" xfId="0" applyNumberFormat="1" applyFont="1" applyFill="1" applyBorder="1" applyAlignment="1">
      <alignment vertical="center"/>
    </xf>
    <xf numFmtId="172" fontId="3" fillId="0" borderId="0" xfId="0" applyNumberFormat="1" applyFont="1" applyAlignment="1">
      <alignment vertical="center"/>
    </xf>
    <xf numFmtId="0" fontId="8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/>
    </xf>
    <xf numFmtId="0" fontId="8" fillId="0" borderId="15" xfId="0" applyNumberFormat="1" applyFont="1" applyFill="1" applyBorder="1" applyAlignment="1">
      <alignment horizontal="center" vertical="top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/>
    </xf>
    <xf numFmtId="170" fontId="8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justify" vertical="top" wrapText="1"/>
    </xf>
    <xf numFmtId="0" fontId="3" fillId="0" borderId="36" xfId="0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0" borderId="30" xfId="0" applyFont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36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justify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justify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justify" vertical="center" wrapText="1"/>
    </xf>
    <xf numFmtId="4" fontId="8" fillId="0" borderId="15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justify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justify" vertical="center" wrapText="1"/>
    </xf>
    <xf numFmtId="4" fontId="8" fillId="0" borderId="29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justify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justify" vertical="center" wrapText="1"/>
    </xf>
    <xf numFmtId="4" fontId="3" fillId="0" borderId="19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justify" vertical="center" wrapText="1"/>
    </xf>
    <xf numFmtId="4" fontId="8" fillId="0" borderId="47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justify" vertical="center" wrapText="1"/>
    </xf>
    <xf numFmtId="4" fontId="8" fillId="0" borderId="27" xfId="0" applyNumberFormat="1" applyFont="1" applyBorder="1" applyAlignment="1">
      <alignment horizontal="center" vertical="center" wrapText="1"/>
    </xf>
    <xf numFmtId="16" fontId="3" fillId="0" borderId="14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justify" vertical="center" wrapText="1"/>
    </xf>
    <xf numFmtId="4" fontId="8" fillId="0" borderId="11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/>
    </xf>
    <xf numFmtId="4" fontId="13" fillId="0" borderId="15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/>
    </xf>
    <xf numFmtId="4" fontId="8" fillId="0" borderId="19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justify" vertical="center" wrapText="1"/>
    </xf>
    <xf numFmtId="4" fontId="8" fillId="0" borderId="49" xfId="0" applyNumberFormat="1" applyFont="1" applyBorder="1" applyAlignment="1">
      <alignment horizontal="center" vertical="center" wrapText="1"/>
    </xf>
    <xf numFmtId="4" fontId="8" fillId="0" borderId="49" xfId="0" applyNumberFormat="1" applyFont="1" applyBorder="1" applyAlignment="1">
      <alignment horizontal="justify" vertical="center" wrapText="1"/>
    </xf>
    <xf numFmtId="4" fontId="8" fillId="0" borderId="49" xfId="0" applyNumberFormat="1" applyFont="1" applyBorder="1" applyAlignment="1">
      <alignment horizontal="right" vertical="center"/>
    </xf>
    <xf numFmtId="4" fontId="8" fillId="0" borderId="50" xfId="0" applyNumberFormat="1" applyFont="1" applyBorder="1" applyAlignment="1">
      <alignment horizontal="right" vertical="center"/>
    </xf>
    <xf numFmtId="4" fontId="8" fillId="0" borderId="27" xfId="0" applyNumberFormat="1" applyFont="1" applyBorder="1" applyAlignment="1">
      <alignment horizontal="justify" vertical="center" wrapText="1"/>
    </xf>
    <xf numFmtId="4" fontId="3" fillId="0" borderId="27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4" fontId="8" fillId="0" borderId="29" xfId="0" applyNumberFormat="1" applyFont="1" applyBorder="1" applyAlignment="1">
      <alignment horizontal="justify" vertical="center" wrapText="1"/>
    </xf>
    <xf numFmtId="0" fontId="8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justify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justify" vertical="center" wrapText="1"/>
    </xf>
    <xf numFmtId="4" fontId="8" fillId="0" borderId="22" xfId="0" applyNumberFormat="1" applyFont="1" applyBorder="1" applyAlignment="1">
      <alignment horizontal="right" vertical="center"/>
    </xf>
    <xf numFmtId="4" fontId="8" fillId="0" borderId="34" xfId="0" applyNumberFormat="1" applyFont="1" applyBorder="1" applyAlignment="1">
      <alignment horizontal="right" vertical="center"/>
    </xf>
    <xf numFmtId="0" fontId="8" fillId="0" borderId="52" xfId="0" applyFont="1" applyBorder="1" applyAlignment="1">
      <alignment horizontal="justify" vertical="center" wrapText="1"/>
    </xf>
    <xf numFmtId="4" fontId="8" fillId="0" borderId="53" xfId="0" applyNumberFormat="1" applyFont="1" applyBorder="1" applyAlignment="1">
      <alignment horizontal="center" vertical="center" wrapText="1"/>
    </xf>
    <xf numFmtId="4" fontId="8" fillId="0" borderId="5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center" wrapText="1"/>
    </xf>
    <xf numFmtId="4" fontId="8" fillId="0" borderId="54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justify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justify" vertical="center" wrapText="1"/>
    </xf>
    <xf numFmtId="4" fontId="3" fillId="0" borderId="56" xfId="0" applyNumberFormat="1" applyFont="1" applyBorder="1" applyAlignment="1">
      <alignment horizontal="center" vertical="center" wrapText="1"/>
    </xf>
    <xf numFmtId="4" fontId="3" fillId="0" borderId="56" xfId="0" applyNumberFormat="1" applyFont="1" applyBorder="1" applyAlignment="1">
      <alignment horizontal="justify" vertical="center" wrapText="1"/>
    </xf>
    <xf numFmtId="4" fontId="3" fillId="0" borderId="56" xfId="0" applyNumberFormat="1" applyFont="1" applyBorder="1" applyAlignment="1">
      <alignment horizontal="right" vertical="center"/>
    </xf>
    <xf numFmtId="4" fontId="3" fillId="0" borderId="5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8" fillId="0" borderId="58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0" xfId="53" applyFont="1" applyAlignment="1">
      <alignment horizontal="right"/>
      <protection/>
    </xf>
    <xf numFmtId="0" fontId="3" fillId="0" borderId="0" xfId="0" applyFont="1" applyAlignment="1">
      <alignment horizontal="center" wrapText="1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right"/>
    </xf>
    <xf numFmtId="0" fontId="13" fillId="0" borderId="15" xfId="0" applyFont="1" applyBorder="1" applyAlignment="1">
      <alignment horizontal="right" vertical="top" wrapText="1"/>
    </xf>
    <xf numFmtId="0" fontId="13" fillId="0" borderId="15" xfId="0" applyFont="1" applyBorder="1" applyAlignment="1">
      <alignment horizontal="left" indent="3"/>
    </xf>
    <xf numFmtId="0" fontId="13" fillId="0" borderId="15" xfId="0" applyFont="1" applyBorder="1" applyAlignment="1">
      <alignment horizontal="left" indent="1"/>
    </xf>
    <xf numFmtId="0" fontId="13" fillId="0" borderId="15" xfId="0" applyFont="1" applyBorder="1" applyAlignment="1">
      <alignment vertical="top" wrapText="1"/>
    </xf>
    <xf numFmtId="0" fontId="13" fillId="0" borderId="15" xfId="0" applyFont="1" applyBorder="1" applyAlignment="1">
      <alignment horizontal="left" indent="2"/>
    </xf>
    <xf numFmtId="0" fontId="10" fillId="0" borderId="0" xfId="0" applyFont="1" applyAlignment="1">
      <alignment wrapText="1"/>
    </xf>
    <xf numFmtId="0" fontId="27" fillId="0" borderId="18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3" fillId="0" borderId="20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/>
    </xf>
    <xf numFmtId="0" fontId="8" fillId="0" borderId="68" xfId="0" applyFont="1" applyBorder="1" applyAlignment="1">
      <alignment horizontal="justify" vertical="center" wrapText="1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 wrapText="1"/>
    </xf>
    <xf numFmtId="0" fontId="13" fillId="0" borderId="16" xfId="0" applyFont="1" applyBorder="1" applyAlignment="1">
      <alignment/>
    </xf>
    <xf numFmtId="0" fontId="28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justify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8" fillId="0" borderId="33" xfId="0" applyFont="1" applyBorder="1" applyAlignment="1">
      <alignment horizontal="justify" vertical="center" wrapText="1"/>
    </xf>
    <xf numFmtId="0" fontId="8" fillId="0" borderId="3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justify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4" fontId="8" fillId="0" borderId="2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/>
    </xf>
    <xf numFmtId="4" fontId="3" fillId="0" borderId="15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4" fontId="3" fillId="0" borderId="19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8" fillId="0" borderId="2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 wrapText="1"/>
    </xf>
    <xf numFmtId="4" fontId="8" fillId="0" borderId="29" xfId="0" applyNumberFormat="1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 indent="4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2" fontId="3" fillId="0" borderId="0" xfId="0" applyNumberFormat="1" applyFont="1" applyAlignment="1">
      <alignment vertical="top" wrapText="1"/>
    </xf>
    <xf numFmtId="0" fontId="12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vertical="center" wrapText="1"/>
    </xf>
    <xf numFmtId="0" fontId="3" fillId="0" borderId="19" xfId="0" applyFont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47" xfId="0" applyFont="1" applyBorder="1" applyAlignment="1">
      <alignment vertical="top"/>
    </xf>
    <xf numFmtId="0" fontId="3" fillId="0" borderId="69" xfId="0" applyFont="1" applyBorder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2" fontId="16" fillId="0" borderId="0" xfId="0" applyNumberFormat="1" applyFont="1" applyFill="1" applyAlignment="1">
      <alignment horizontal="right" vertical="top" wrapText="1"/>
    </xf>
    <xf numFmtId="0" fontId="12" fillId="0" borderId="0" xfId="0" applyFont="1" applyFill="1" applyAlignment="1">
      <alignment horizontal="right"/>
    </xf>
    <xf numFmtId="0" fontId="11" fillId="0" borderId="58" xfId="0" applyFont="1" applyFill="1" applyBorder="1" applyAlignment="1">
      <alignment horizontal="justify"/>
    </xf>
    <xf numFmtId="0" fontId="12" fillId="0" borderId="58" xfId="0" applyFont="1" applyFill="1" applyBorder="1" applyAlignment="1">
      <alignment horizontal="justify"/>
    </xf>
    <xf numFmtId="0" fontId="12" fillId="0" borderId="74" xfId="0" applyFont="1" applyFill="1" applyBorder="1" applyAlignment="1">
      <alignment horizontal="justify"/>
    </xf>
    <xf numFmtId="0" fontId="11" fillId="0" borderId="58" xfId="0" applyFont="1" applyFill="1" applyBorder="1" applyAlignment="1">
      <alignment vertical="top" wrapText="1"/>
    </xf>
    <xf numFmtId="0" fontId="11" fillId="0" borderId="75" xfId="0" applyFont="1" applyFill="1" applyBorder="1" applyAlignment="1">
      <alignment vertical="top" wrapText="1"/>
    </xf>
    <xf numFmtId="0" fontId="12" fillId="0" borderId="76" xfId="0" applyFont="1" applyFill="1" applyBorder="1" applyAlignment="1">
      <alignment horizontal="justify" vertical="top" wrapText="1"/>
    </xf>
    <xf numFmtId="0" fontId="11" fillId="0" borderId="74" xfId="0" applyFont="1" applyFill="1" applyBorder="1" applyAlignment="1">
      <alignment vertical="top" wrapText="1"/>
    </xf>
    <xf numFmtId="0" fontId="12" fillId="0" borderId="58" xfId="0" applyFont="1" applyFill="1" applyBorder="1" applyAlignment="1">
      <alignment horizontal="justify" vertical="top" wrapText="1"/>
    </xf>
    <xf numFmtId="0" fontId="12" fillId="0" borderId="74" xfId="0" applyFont="1" applyFill="1" applyBorder="1" applyAlignment="1">
      <alignment vertical="top" wrapText="1"/>
    </xf>
    <xf numFmtId="0" fontId="12" fillId="0" borderId="58" xfId="0" applyFont="1" applyFill="1" applyBorder="1" applyAlignment="1">
      <alignment vertical="top" wrapText="1"/>
    </xf>
    <xf numFmtId="0" fontId="12" fillId="0" borderId="74" xfId="0" applyFont="1" applyFill="1" applyBorder="1" applyAlignment="1">
      <alignment horizontal="justify" vertical="top" wrapText="1"/>
    </xf>
    <xf numFmtId="0" fontId="12" fillId="0" borderId="77" xfId="0" applyFont="1" applyFill="1" applyBorder="1" applyAlignment="1">
      <alignment vertical="top" wrapText="1"/>
    </xf>
    <xf numFmtId="0" fontId="12" fillId="0" borderId="75" xfId="0" applyFont="1" applyFill="1" applyBorder="1" applyAlignment="1">
      <alignment vertical="top" wrapText="1"/>
    </xf>
    <xf numFmtId="0" fontId="11" fillId="0" borderId="75" xfId="0" applyFont="1" applyFill="1" applyBorder="1" applyAlignment="1">
      <alignment horizontal="justify" vertical="top" wrapText="1"/>
    </xf>
    <xf numFmtId="0" fontId="11" fillId="0" borderId="58" xfId="0" applyFont="1" applyFill="1" applyBorder="1" applyAlignment="1">
      <alignment horizontal="justify" vertical="top" wrapText="1"/>
    </xf>
    <xf numFmtId="0" fontId="12" fillId="0" borderId="57" xfId="0" applyFont="1" applyFill="1" applyBorder="1" applyAlignment="1">
      <alignment horizontal="justify" vertical="top" wrapText="1"/>
    </xf>
    <xf numFmtId="0" fontId="12" fillId="0" borderId="45" xfId="0" applyFont="1" applyFill="1" applyBorder="1" applyAlignment="1">
      <alignment horizontal="justify" vertical="top" wrapText="1"/>
    </xf>
    <xf numFmtId="0" fontId="12" fillId="0" borderId="57" xfId="0" applyFont="1" applyFill="1" applyBorder="1" applyAlignment="1">
      <alignment vertical="top" wrapText="1"/>
    </xf>
    <xf numFmtId="0" fontId="11" fillId="0" borderId="74" xfId="0" applyFont="1" applyFill="1" applyBorder="1" applyAlignment="1">
      <alignment horizontal="left" vertical="center" wrapText="1"/>
    </xf>
    <xf numFmtId="0" fontId="12" fillId="0" borderId="74" xfId="0" applyFont="1" applyFill="1" applyBorder="1" applyAlignment="1">
      <alignment horizontal="left" vertical="top" wrapText="1"/>
    </xf>
    <xf numFmtId="0" fontId="11" fillId="0" borderId="74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/>
    </xf>
    <xf numFmtId="0" fontId="12" fillId="0" borderId="0" xfId="0" applyFont="1" applyFill="1" applyAlignment="1">
      <alignment horizontal="left" wrapText="1"/>
    </xf>
    <xf numFmtId="1" fontId="11" fillId="0" borderId="0" xfId="0" applyNumberFormat="1" applyFont="1" applyFill="1" applyAlignment="1">
      <alignment horizontal="left" vertical="top"/>
    </xf>
    <xf numFmtId="49" fontId="12" fillId="0" borderId="0" xfId="0" applyNumberFormat="1" applyFont="1" applyFill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8" fillId="0" borderId="19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3" fillId="0" borderId="0" xfId="53" applyFont="1">
      <alignment/>
      <protection/>
    </xf>
    <xf numFmtId="0" fontId="31" fillId="0" borderId="0" xfId="0" applyFont="1" applyAlignment="1">
      <alignment/>
    </xf>
    <xf numFmtId="0" fontId="8" fillId="0" borderId="0" xfId="53" applyFont="1" applyAlignment="1">
      <alignment horizontal="center"/>
      <protection/>
    </xf>
    <xf numFmtId="2" fontId="16" fillId="0" borderId="0" xfId="53" applyNumberFormat="1" applyFont="1" applyAlignment="1">
      <alignment horizontal="right" vertical="top" wrapText="1"/>
      <protection/>
    </xf>
    <xf numFmtId="0" fontId="8" fillId="0" borderId="0" xfId="53" applyFont="1">
      <alignment/>
      <protection/>
    </xf>
    <xf numFmtId="176" fontId="8" fillId="0" borderId="22" xfId="53" applyNumberFormat="1" applyFont="1" applyBorder="1" applyAlignment="1">
      <alignment horizontal="center" vertical="center" wrapText="1"/>
      <protection/>
    </xf>
    <xf numFmtId="176" fontId="8" fillId="0" borderId="15" xfId="53" applyNumberFormat="1" applyFont="1" applyBorder="1" applyAlignment="1">
      <alignment horizontal="center" wrapText="1"/>
      <protection/>
    </xf>
    <xf numFmtId="0" fontId="32" fillId="0" borderId="16" xfId="53" applyFont="1" applyBorder="1" applyAlignment="1">
      <alignment horizontal="center"/>
      <protection/>
    </xf>
    <xf numFmtId="176" fontId="8" fillId="19" borderId="15" xfId="53" applyNumberFormat="1" applyFont="1" applyFill="1" applyBorder="1" applyAlignment="1">
      <alignment horizontal="center" vertical="center" wrapText="1"/>
      <protection/>
    </xf>
    <xf numFmtId="176" fontId="8" fillId="19" borderId="15" xfId="53" applyNumberFormat="1" applyFont="1" applyFill="1" applyBorder="1" applyAlignment="1">
      <alignment horizontal="center" wrapText="1"/>
      <protection/>
    </xf>
    <xf numFmtId="176" fontId="14" fillId="19" borderId="15" xfId="53" applyNumberFormat="1" applyFont="1" applyFill="1" applyBorder="1" applyAlignment="1">
      <alignment horizontal="center" wrapText="1"/>
      <protection/>
    </xf>
    <xf numFmtId="176" fontId="8" fillId="19" borderId="15" xfId="53" applyNumberFormat="1" applyFont="1" applyFill="1" applyBorder="1" applyAlignment="1">
      <alignment horizontal="right" vertical="center" wrapText="1"/>
      <protection/>
    </xf>
    <xf numFmtId="176" fontId="8" fillId="19" borderId="15" xfId="53" applyNumberFormat="1" applyFont="1" applyFill="1" applyBorder="1" applyAlignment="1">
      <alignment horizontal="right" wrapText="1"/>
      <protection/>
    </xf>
    <xf numFmtId="176" fontId="14" fillId="19" borderId="15" xfId="53" applyNumberFormat="1" applyFont="1" applyFill="1" applyBorder="1" applyAlignment="1">
      <alignment horizontal="right" wrapText="1"/>
      <protection/>
    </xf>
    <xf numFmtId="176" fontId="3" fillId="0" borderId="15" xfId="53" applyNumberFormat="1" applyFont="1" applyBorder="1" applyAlignment="1">
      <alignment wrapText="1"/>
      <protection/>
    </xf>
    <xf numFmtId="176" fontId="3" fillId="0" borderId="15" xfId="53" applyNumberFormat="1" applyFont="1" applyBorder="1" applyAlignment="1">
      <alignment horizontal="left" wrapText="1" indent="1"/>
      <protection/>
    </xf>
    <xf numFmtId="176" fontId="26" fillId="0" borderId="15" xfId="53" applyNumberFormat="1" applyFont="1" applyBorder="1" applyAlignment="1">
      <alignment horizontal="left" wrapText="1" indent="2"/>
      <protection/>
    </xf>
    <xf numFmtId="176" fontId="3" fillId="0" borderId="15" xfId="53" applyNumberFormat="1" applyFont="1" applyBorder="1">
      <alignment/>
      <protection/>
    </xf>
    <xf numFmtId="176" fontId="3" fillId="0" borderId="15" xfId="53" applyNumberFormat="1" applyFont="1" applyBorder="1" applyAlignment="1">
      <alignment vertical="center"/>
      <protection/>
    </xf>
    <xf numFmtId="176" fontId="33" fillId="0" borderId="0" xfId="53" applyNumberFormat="1" applyFont="1" applyAlignment="1">
      <alignment wrapText="1"/>
      <protection/>
    </xf>
    <xf numFmtId="0" fontId="17" fillId="0" borderId="14" xfId="0" applyFont="1" applyBorder="1" applyAlignment="1">
      <alignment/>
    </xf>
    <xf numFmtId="0" fontId="17" fillId="0" borderId="18" xfId="0" applyFont="1" applyBorder="1" applyAlignment="1">
      <alignment/>
    </xf>
    <xf numFmtId="0" fontId="19" fillId="0" borderId="19" xfId="0" applyFont="1" applyBorder="1" applyAlignment="1">
      <alignment vertical="center"/>
    </xf>
    <xf numFmtId="0" fontId="8" fillId="0" borderId="31" xfId="0" applyFont="1" applyBorder="1" applyAlignment="1">
      <alignment horizontal="center"/>
    </xf>
    <xf numFmtId="0" fontId="3" fillId="0" borderId="69" xfId="0" applyFont="1" applyBorder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16" fontId="4" fillId="0" borderId="15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164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15" xfId="54" applyFont="1" applyFill="1" applyBorder="1" applyAlignment="1">
      <alignment horizontal="center" vertical="center" wrapText="1"/>
      <protection/>
    </xf>
    <xf numFmtId="0" fontId="13" fillId="0" borderId="15" xfId="54" applyFont="1" applyFill="1" applyBorder="1" applyAlignment="1">
      <alignment horizontal="center" vertical="center" wrapText="1"/>
      <protection/>
    </xf>
    <xf numFmtId="168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0" xfId="54" applyFont="1" applyFill="1">
      <alignment/>
      <protection/>
    </xf>
    <xf numFmtId="0" fontId="3" fillId="0" borderId="0" xfId="0" applyFont="1" applyFill="1" applyAlignment="1">
      <alignment/>
    </xf>
    <xf numFmtId="164" fontId="8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right" vertical="center" wrapText="1"/>
    </xf>
    <xf numFmtId="171" fontId="8" fillId="0" borderId="15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right" wrapText="1"/>
    </xf>
    <xf numFmtId="171" fontId="8" fillId="0" borderId="15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22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3" fillId="0" borderId="0" xfId="0" applyNumberFormat="1" applyFont="1" applyFill="1" applyBorder="1" applyAlignment="1">
      <alignment horizontal="left" vertical="top"/>
    </xf>
    <xf numFmtId="2" fontId="3" fillId="0" borderId="0" xfId="0" applyNumberFormat="1" applyFont="1" applyFill="1" applyAlignment="1">
      <alignment horizontal="center" vertical="top" wrapText="1"/>
    </xf>
    <xf numFmtId="0" fontId="10" fillId="0" borderId="0" xfId="0" applyFont="1" applyFill="1" applyAlignment="1">
      <alignment horizontal="left" wrapText="1"/>
    </xf>
    <xf numFmtId="168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4" fillId="0" borderId="23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top" wrapText="1"/>
    </xf>
    <xf numFmtId="164" fontId="4" fillId="0" borderId="39" xfId="0" applyNumberFormat="1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vertical="center"/>
    </xf>
    <xf numFmtId="164" fontId="4" fillId="0" borderId="36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 wrapText="1"/>
    </xf>
    <xf numFmtId="164" fontId="4" fillId="0" borderId="75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19" fillId="0" borderId="1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164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58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8" fillId="0" borderId="21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176" fontId="3" fillId="0" borderId="15" xfId="53" applyNumberFormat="1" applyFont="1" applyBorder="1" applyAlignment="1">
      <alignment horizontal="center" wrapText="1"/>
      <protection/>
    </xf>
    <xf numFmtId="0" fontId="8" fillId="0" borderId="0" xfId="53" applyFont="1" applyBorder="1" applyAlignment="1">
      <alignment horizontal="center"/>
      <protection/>
    </xf>
    <xf numFmtId="176" fontId="9" fillId="19" borderId="15" xfId="53" applyNumberFormat="1" applyFont="1" applyFill="1" applyBorder="1" applyAlignment="1">
      <alignment horizontal="center" wrapText="1"/>
      <protection/>
    </xf>
    <xf numFmtId="176" fontId="1" fillId="0" borderId="0" xfId="53" applyNumberFormat="1" applyFont="1" applyBorder="1" applyAlignment="1">
      <alignment horizontal="left" wrapText="1"/>
      <protection/>
    </xf>
    <xf numFmtId="0" fontId="34" fillId="0" borderId="0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8" fillId="0" borderId="36" xfId="0" applyFont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Форматы по компаниям_last_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-25000">
                <a:solidFill>
                  <a:srgbClr val="000000"/>
                </a:solidFill>
              </a:rPr>
              <a:t>Денежный поток на собственный капитал, руб.</a:t>
            </a:r>
          </a:p>
        </c:rich>
      </c:tx>
      <c:layout>
        <c:manualLayout>
          <c:xMode val="factor"/>
          <c:yMode val="factor"/>
          <c:x val="0.093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284"/>
          <c:w val="0.8085"/>
          <c:h val="0.67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содержание!$K$28</c:f>
              <c:numCache>
                <c:ptCount val="1"/>
              </c:numCache>
            </c:numRef>
          </c:cat>
          <c:val>
            <c:numRef>
              <c:f>содержание!$K$66</c:f>
              <c:numCache>
                <c:ptCount val="1"/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содержание!$K$28</c:f>
              <c:numCache>
                <c:ptCount val="1"/>
              </c:numCache>
            </c:numRef>
          </c:cat>
          <c:val>
            <c:numRef>
              <c:f>содержание!$K$69</c:f>
              <c:numCache>
                <c:ptCount val="1"/>
              </c:numCache>
            </c:numRef>
          </c:val>
          <c:smooth val="0"/>
        </c:ser>
        <c:marker val="1"/>
        <c:axId val="35407501"/>
        <c:axId val="50232054"/>
      </c:lineChart>
      <c:catAx>
        <c:axId val="3540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-25000">
                <a:solidFill>
                  <a:srgbClr val="000000"/>
                </a:solidFill>
              </a:defRPr>
            </a:pPr>
          </a:p>
        </c:txPr>
        <c:crossAx val="50232054"/>
        <c:crossesAt val="0"/>
        <c:auto val="1"/>
        <c:lblOffset val="100"/>
        <c:tickLblSkip val="1"/>
        <c:noMultiLvlLbl val="0"/>
      </c:catAx>
      <c:valAx>
        <c:axId val="502320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-25000">
                <a:solidFill>
                  <a:srgbClr val="000000"/>
                </a:solidFill>
              </a:defRPr>
            </a:pPr>
          </a:p>
        </c:txPr>
        <c:crossAx val="3540750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6525"/>
          <c:w val="0.11825"/>
          <c:h val="0.1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-25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SimSun"/>
          <a:ea typeface="SimSun"/>
          <a:cs typeface="SimSu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1143000</xdr:colOff>
      <xdr:row>21</xdr:row>
      <xdr:rowOff>180975</xdr:rowOff>
    </xdr:from>
    <xdr:to>
      <xdr:col>10</xdr:col>
      <xdr:colOff>1809750</xdr:colOff>
      <xdr:row>34</xdr:row>
      <xdr:rowOff>0</xdr:rowOff>
    </xdr:to>
    <xdr:graphicFrame>
      <xdr:nvGraphicFramePr>
        <xdr:cNvPr id="1" name="Диаграмма 1"/>
        <xdr:cNvGraphicFramePr/>
      </xdr:nvGraphicFramePr>
      <xdr:xfrm>
        <a:off x="7829550" y="4381500"/>
        <a:ext cx="50673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%201.1%20&#1076;&#1083;&#1103;%20&#1056;&#1057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.1 без НДС"/>
      <sheetName val="приложение с НДС"/>
    </sheetNames>
    <sheetDataSet>
      <sheetData sheetId="0">
        <row r="1">
          <cell r="A1" t="str">
            <v>Перечень инвестиционных проектов на период реализации инвестиционной программы и план их финансирования</v>
          </cell>
        </row>
        <row r="2">
          <cell r="M2" t="str">
            <v>Утверждаю</v>
          </cell>
        </row>
        <row r="3">
          <cell r="M3" t="str">
            <v>Генеральный директор </v>
          </cell>
        </row>
        <row r="4">
          <cell r="M4" t="str">
            <v>ОАО «Орелоблэнерго»</v>
          </cell>
        </row>
        <row r="5">
          <cell r="M5" t="str">
            <v>______________Перьков А..В.</v>
          </cell>
        </row>
        <row r="6">
          <cell r="M6" t="str">
            <v>«___»________ 20____ года</v>
          </cell>
        </row>
        <row r="7">
          <cell r="M7" t="str">
            <v>М.П.</v>
          </cell>
        </row>
        <row r="10">
          <cell r="A10" t="str">
            <v>№№</v>
          </cell>
          <cell r="B10" t="str">
            <v>Наименование объекта</v>
          </cell>
          <cell r="C10" t="str">
            <v>Стадия реализации проекта</v>
          </cell>
          <cell r="D10" t="str">
            <v>Проектная мощность/
протяженность сетей</v>
          </cell>
          <cell r="E10" t="str">
            <v>год 
начала 
сроительства</v>
          </cell>
          <cell r="F10" t="str">
            <v>год 
окончания 
строительства</v>
          </cell>
          <cell r="G10" t="str">
            <v>Полная 
стоимость 
строительства **</v>
          </cell>
          <cell r="H10" t="str">
            <v>Остаточная стоимость строительства **</v>
          </cell>
          <cell r="I10" t="str">
            <v>План 
финансирования 
текущего года</v>
          </cell>
          <cell r="J10" t="str">
            <v>Ввод мощностей</v>
          </cell>
          <cell r="L10" t="str">
            <v>Объем финансирования****</v>
          </cell>
        </row>
        <row r="11">
          <cell r="J11" t="str">
            <v>План года 2013</v>
          </cell>
          <cell r="K11" t="str">
            <v>Итого</v>
          </cell>
          <cell r="L11" t="str">
            <v>План 
Года 2013</v>
          </cell>
          <cell r="M11" t="str">
            <v>Итого</v>
          </cell>
        </row>
        <row r="12">
          <cell r="C12" t="str">
            <v>С/П*</v>
          </cell>
          <cell r="D12" t="str">
            <v>МВт/Гкал/ч/км/МВА</v>
          </cell>
          <cell r="G12" t="str">
            <v>млн.рублей</v>
          </cell>
          <cell r="H12" t="str">
            <v>млн.рублей</v>
          </cell>
          <cell r="I12" t="str">
            <v>млн.рублей</v>
          </cell>
          <cell r="J12" t="str">
            <v>МВт/Гкал/ч/км/МВА</v>
          </cell>
          <cell r="K12" t="str">
            <v>МВт/Гкал/ч/км/МВА</v>
          </cell>
          <cell r="L12" t="str">
            <v>млн.рублей</v>
          </cell>
          <cell r="M12" t="str">
            <v>млн.рублей</v>
          </cell>
        </row>
        <row r="13">
          <cell r="B13" t="str">
            <v>ВСЕГО, </v>
          </cell>
          <cell r="L13">
            <v>72.017</v>
          </cell>
          <cell r="M13">
            <v>72.017</v>
          </cell>
        </row>
        <row r="14">
          <cell r="A14">
            <v>1</v>
          </cell>
          <cell r="B14" t="str">
            <v>Техническое перевооружение и реконструкция</v>
          </cell>
        </row>
        <row r="15">
          <cell r="A15" t="str">
            <v>1.1.</v>
          </cell>
          <cell r="B15" t="str">
            <v>Энергосбережение и повышение энергетической эффективности</v>
          </cell>
          <cell r="L15">
            <v>48.372</v>
          </cell>
          <cell r="M15">
            <v>48.372</v>
          </cell>
        </row>
        <row r="16">
          <cell r="A16" t="str">
            <v>1.1.1.</v>
          </cell>
          <cell r="B16" t="str">
            <v>Техническое перевооружение  ТП,РП. Замена маслянных выключателей на вакуумные</v>
          </cell>
          <cell r="E16">
            <v>2013</v>
          </cell>
          <cell r="F16">
            <v>2013</v>
          </cell>
          <cell r="G16">
            <v>2.59</v>
          </cell>
          <cell r="L16">
            <v>2.59</v>
          </cell>
          <cell r="M16">
            <v>2.59</v>
          </cell>
        </row>
        <row r="17">
          <cell r="A17" t="str">
            <v>1.1.2.</v>
          </cell>
          <cell r="B17" t="str">
            <v>Техническое перевооружение ТП,РП. Замена силовых трансформаторов 10/6/0,4кВ </v>
          </cell>
          <cell r="D17">
            <v>6.4</v>
          </cell>
          <cell r="E17">
            <v>2013</v>
          </cell>
          <cell r="F17">
            <v>2013</v>
          </cell>
          <cell r="G17">
            <v>4.366</v>
          </cell>
          <cell r="J17">
            <v>6.4</v>
          </cell>
          <cell r="K17">
            <v>6.4</v>
          </cell>
          <cell r="L17">
            <v>4.366</v>
          </cell>
          <cell r="M17">
            <v>4.366</v>
          </cell>
        </row>
        <row r="18">
          <cell r="A18" t="str">
            <v>1.1.3.</v>
          </cell>
          <cell r="B18" t="str">
            <v>Техническое перевооружение   ТП, РП.</v>
          </cell>
          <cell r="E18">
            <v>2013</v>
          </cell>
          <cell r="F18">
            <v>2013</v>
          </cell>
          <cell r="G18">
            <v>3.729</v>
          </cell>
          <cell r="L18">
            <v>3.729</v>
          </cell>
          <cell r="M18">
            <v>3.729</v>
          </cell>
        </row>
        <row r="19">
          <cell r="A19" t="str">
            <v>1.1.4.</v>
          </cell>
          <cell r="B19" t="str">
            <v>Реконструкция кабельных линий </v>
          </cell>
          <cell r="D19">
            <v>3.73</v>
          </cell>
          <cell r="E19">
            <v>2013</v>
          </cell>
          <cell r="F19">
            <v>2013</v>
          </cell>
          <cell r="G19">
            <v>4.6</v>
          </cell>
          <cell r="J19">
            <v>3.73</v>
          </cell>
          <cell r="K19">
            <v>3.73</v>
          </cell>
          <cell r="L19">
            <v>4.6</v>
          </cell>
          <cell r="M19">
            <v>4.6</v>
          </cell>
        </row>
        <row r="20">
          <cell r="A20" t="str">
            <v>1.1.5.</v>
          </cell>
          <cell r="B20" t="str">
            <v>Реконструкция, техническое перевооружение воздушных линий </v>
          </cell>
          <cell r="D20">
            <v>37.854</v>
          </cell>
          <cell r="E20">
            <v>2013</v>
          </cell>
          <cell r="F20">
            <v>2013</v>
          </cell>
          <cell r="G20">
            <v>26.387</v>
          </cell>
          <cell r="J20">
            <v>37.854</v>
          </cell>
          <cell r="K20">
            <v>37.854</v>
          </cell>
          <cell r="L20">
            <v>26.387</v>
          </cell>
          <cell r="M20">
            <v>26.387</v>
          </cell>
        </row>
        <row r="21">
          <cell r="A21" t="str">
            <v>1.1.6.</v>
          </cell>
          <cell r="B21" t="str">
            <v>Оснащение спецоборудованием, спецтехникой и приборами.</v>
          </cell>
          <cell r="E21">
            <v>2013</v>
          </cell>
          <cell r="F21">
            <v>2013</v>
          </cell>
          <cell r="G21">
            <v>6.7</v>
          </cell>
          <cell r="L21">
            <v>6.7</v>
          </cell>
          <cell r="M21">
            <v>6.7</v>
          </cell>
        </row>
        <row r="22">
          <cell r="A22" t="str">
            <v>1.2.</v>
          </cell>
          <cell r="B22" t="str">
            <v>Создание систем противоаварийной и режимной автоматики</v>
          </cell>
          <cell r="G22">
            <v>2.7249999999999996</v>
          </cell>
          <cell r="L22">
            <v>2.7249999999999996</v>
          </cell>
          <cell r="M22">
            <v>2.7249999999999996</v>
          </cell>
        </row>
        <row r="23">
          <cell r="A23" t="str">
            <v>1.2.1</v>
          </cell>
          <cell r="B23" t="str">
            <v>Техническое перевооружение РП. Внедрение  микропроцессорной релейной защиты и автоматики в РП.</v>
          </cell>
          <cell r="D23" t="str">
            <v>15 компл</v>
          </cell>
          <cell r="E23">
            <v>2013</v>
          </cell>
          <cell r="F23">
            <v>2013</v>
          </cell>
          <cell r="G23">
            <v>1.025</v>
          </cell>
          <cell r="J23" t="str">
            <v>15 компл</v>
          </cell>
          <cell r="K23" t="str">
            <v>15 компл</v>
          </cell>
          <cell r="L23">
            <v>1.025</v>
          </cell>
          <cell r="M23">
            <v>1.025</v>
          </cell>
        </row>
        <row r="24">
          <cell r="A24" t="str">
            <v>1.2.2</v>
          </cell>
          <cell r="B24" t="str">
            <v>Техническое перевооружение электросетевого хозяйства. Установка  реклоузеров</v>
          </cell>
          <cell r="D24" t="str">
            <v>2 компл</v>
          </cell>
          <cell r="E24">
            <v>2013</v>
          </cell>
          <cell r="F24">
            <v>2013</v>
          </cell>
          <cell r="G24">
            <v>1.7</v>
          </cell>
          <cell r="J24" t="str">
            <v>2 компл</v>
          </cell>
          <cell r="K24" t="str">
            <v>2 компл</v>
          </cell>
          <cell r="L24">
            <v>1.7</v>
          </cell>
          <cell r="M24">
            <v>1.7</v>
          </cell>
        </row>
        <row r="25">
          <cell r="A25" t="str">
            <v>1.3.</v>
          </cell>
          <cell r="B25" t="str">
            <v>Создание систем телемеханики  и связи </v>
          </cell>
          <cell r="G25">
            <v>7.57</v>
          </cell>
          <cell r="L25">
            <v>7.57</v>
          </cell>
          <cell r="M25">
            <v>7.57</v>
          </cell>
        </row>
        <row r="26">
          <cell r="A26" t="str">
            <v>1.3.1</v>
          </cell>
          <cell r="B26" t="str">
            <v>Построение автоматизированной информационно-измерительной системы и АСКУЭ  в распределительных сетях 6/10 кВ</v>
          </cell>
          <cell r="D26" t="str">
            <v>5 компл</v>
          </cell>
          <cell r="E26">
            <v>2013</v>
          </cell>
          <cell r="F26">
            <v>2013</v>
          </cell>
          <cell r="G26">
            <v>2.044</v>
          </cell>
          <cell r="J26" t="str">
            <v>5 компл</v>
          </cell>
          <cell r="K26" t="str">
            <v>5 компл</v>
          </cell>
          <cell r="L26">
            <v>2.044</v>
          </cell>
          <cell r="M26">
            <v>2.044</v>
          </cell>
        </row>
        <row r="27">
          <cell r="A27" t="str">
            <v>1.3.2</v>
          </cell>
          <cell r="B27" t="str">
            <v>Построение АСКУЭ  в распределительных сетях 0,4 кВ на вводах в ТП и объекты энергоснабжения</v>
          </cell>
          <cell r="D27" t="str">
            <v>12компл</v>
          </cell>
          <cell r="E27">
            <v>2013</v>
          </cell>
          <cell r="F27">
            <v>2013</v>
          </cell>
          <cell r="G27">
            <v>1.826</v>
          </cell>
          <cell r="J27" t="str">
            <v>12 компл</v>
          </cell>
          <cell r="K27" t="str">
            <v>12 компл</v>
          </cell>
          <cell r="L27">
            <v>1.826</v>
          </cell>
          <cell r="M27">
            <v>1.826</v>
          </cell>
        </row>
        <row r="28">
          <cell r="A28" t="str">
            <v>1.3.3</v>
          </cell>
          <cell r="B28" t="str">
            <v>Техническое перевооружение  АСУП ОАО «Орелоблэнерго» на базе ПО «Модус»</v>
          </cell>
          <cell r="E28">
            <v>2013</v>
          </cell>
          <cell r="F28">
            <v>2013</v>
          </cell>
          <cell r="G28">
            <v>3.7</v>
          </cell>
          <cell r="L28">
            <v>3.7</v>
          </cell>
          <cell r="M28">
            <v>3.7</v>
          </cell>
        </row>
        <row r="29">
          <cell r="A29" t="str">
            <v>1.4.</v>
          </cell>
          <cell r="B29" t="str">
            <v>Установка устройств регулирования напряжения и компенсации реактивной мощности</v>
          </cell>
        </row>
        <row r="30">
          <cell r="A30" t="str">
            <v>2.</v>
          </cell>
          <cell r="B30" t="str">
            <v>Новое строительство</v>
          </cell>
          <cell r="D30">
            <v>3.6599999999999997</v>
          </cell>
          <cell r="G30">
            <v>13.35</v>
          </cell>
          <cell r="H30">
            <v>0</v>
          </cell>
          <cell r="I30">
            <v>0</v>
          </cell>
          <cell r="J30">
            <v>3.6599999999999997</v>
          </cell>
          <cell r="K30">
            <v>3.6599999999999997</v>
          </cell>
          <cell r="L30">
            <v>13.35</v>
          </cell>
          <cell r="M30">
            <v>13.35</v>
          </cell>
        </row>
        <row r="31">
          <cell r="A31" t="str">
            <v>2.1.</v>
          </cell>
          <cell r="B31" t="str">
            <v>Энергосбережение и повышение энергетической эффективности</v>
          </cell>
        </row>
        <row r="32">
          <cell r="A32" t="str">
            <v>2.1.1.</v>
          </cell>
          <cell r="B32" t="str">
            <v>Реконструкция ТП. Строительство ТП взамен ликвидируемых ветхих.</v>
          </cell>
          <cell r="D32">
            <v>0.4</v>
          </cell>
          <cell r="E32">
            <v>2013</v>
          </cell>
          <cell r="F32">
            <v>2013</v>
          </cell>
          <cell r="G32">
            <v>3.06</v>
          </cell>
          <cell r="J32">
            <v>0.4</v>
          </cell>
          <cell r="K32">
            <v>0.4</v>
          </cell>
          <cell r="L32">
            <v>3.06</v>
          </cell>
          <cell r="M32">
            <v>3.06</v>
          </cell>
        </row>
        <row r="33">
          <cell r="A33" t="str">
            <v>2.1.2</v>
          </cell>
          <cell r="B33" t="str">
            <v>Строительство объектов электросетевого хозяйства для осуществления технологических присоединений</v>
          </cell>
          <cell r="D33">
            <v>3.26</v>
          </cell>
          <cell r="E33">
            <v>2013</v>
          </cell>
          <cell r="F33">
            <v>2013</v>
          </cell>
          <cell r="G33">
            <v>10.29</v>
          </cell>
          <cell r="J33">
            <v>3.26</v>
          </cell>
          <cell r="K33">
            <v>3.26</v>
          </cell>
          <cell r="L33">
            <v>10.29</v>
          </cell>
          <cell r="M33">
            <v>10.29</v>
          </cell>
        </row>
        <row r="34">
          <cell r="A34" t="str">
            <v>2.2.</v>
          </cell>
          <cell r="B34" t="str">
            <v>Прочее новое строительство</v>
          </cell>
        </row>
        <row r="35">
          <cell r="A35" t="str">
            <v>2.2.1</v>
          </cell>
          <cell r="B35" t="str">
            <v>Монтаж и наладка первичных приборов учета на вводах  0,4 кВ  в ТП и объекты энергоснабжения</v>
          </cell>
        </row>
        <row r="36">
          <cell r="A36" t="str">
            <v>Справочно:</v>
          </cell>
        </row>
        <row r="37">
          <cell r="B37" t="str">
            <v>Оплата процентов за привлеченные кредитные ресурсы</v>
          </cell>
        </row>
        <row r="40">
          <cell r="B40" t="str">
            <v>* С - строительство, П- проектирование</v>
          </cell>
        </row>
        <row r="41">
          <cell r="B41" t="str">
            <v>** - согласно проектной документации в текущих ценах (с НДС)</v>
          </cell>
        </row>
        <row r="42">
          <cell r="B42" t="str">
            <v>*** - для сетевых организаций, переодящих на метод тарифного регулирования RAB, горизонт планирования может быть больше</v>
          </cell>
        </row>
        <row r="43">
          <cell r="B43" t="str">
            <v>**** - в прогнозных ценах соответствующего года</v>
          </cell>
        </row>
        <row r="44">
          <cell r="B44" t="str">
            <v>Примечание: для сетевых объектов с разделением объектов на ПС, ВЛ и КЛ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="75" zoomScaleNormal="75" zoomScaleSheetLayoutView="80" zoomScalePageLayoutView="0" workbookViewId="0" topLeftCell="A1">
      <selection activeCell="I12" sqref="I12"/>
    </sheetView>
  </sheetViews>
  <sheetFormatPr defaultColWidth="8.796875" defaultRowHeight="15"/>
  <cols>
    <col min="1" max="1" width="15.5" style="1" customWidth="1"/>
    <col min="2" max="2" width="144.3984375" style="1" customWidth="1"/>
    <col min="3" max="3" width="19.5" style="1" customWidth="1"/>
    <col min="4" max="4" width="19" style="1" customWidth="1"/>
    <col min="5" max="5" width="18" style="1" customWidth="1"/>
  </cols>
  <sheetData>
    <row r="1" spans="1:5" ht="36.75" customHeight="1">
      <c r="A1" s="2" t="s">
        <v>194</v>
      </c>
      <c r="B1" s="3" t="s">
        <v>195</v>
      </c>
      <c r="C1" s="3" t="s">
        <v>196</v>
      </c>
      <c r="D1" s="4" t="s">
        <v>197</v>
      </c>
      <c r="E1" s="5" t="s">
        <v>198</v>
      </c>
    </row>
    <row r="2" spans="1:5" ht="18.75">
      <c r="A2" s="6" t="s">
        <v>199</v>
      </c>
      <c r="B2" s="7" t="s">
        <v>200</v>
      </c>
      <c r="C2" s="8">
        <v>5</v>
      </c>
      <c r="D2" s="9"/>
      <c r="E2" s="10"/>
    </row>
    <row r="3" spans="1:5" ht="18.75">
      <c r="A3" s="11" t="s">
        <v>201</v>
      </c>
      <c r="B3" s="7" t="s">
        <v>202</v>
      </c>
      <c r="C3" s="8" t="s">
        <v>203</v>
      </c>
      <c r="D3" s="9"/>
      <c r="E3" s="10"/>
    </row>
    <row r="4" spans="1:5" ht="18.75">
      <c r="A4" s="11" t="s">
        <v>204</v>
      </c>
      <c r="B4" s="7" t="s">
        <v>205</v>
      </c>
      <c r="C4" s="8">
        <v>5</v>
      </c>
      <c r="D4" s="9"/>
      <c r="E4" s="10"/>
    </row>
    <row r="5" spans="1:5" ht="37.5">
      <c r="A5" s="11" t="s">
        <v>206</v>
      </c>
      <c r="B5" s="7" t="s">
        <v>207</v>
      </c>
      <c r="C5" s="8" t="s">
        <v>208</v>
      </c>
      <c r="D5" s="12"/>
      <c r="E5" s="10"/>
    </row>
    <row r="6" spans="1:5" ht="18.75">
      <c r="A6" s="11" t="s">
        <v>209</v>
      </c>
      <c r="B6" s="7" t="s">
        <v>210</v>
      </c>
      <c r="C6" s="8">
        <v>5</v>
      </c>
      <c r="D6" s="9"/>
      <c r="E6" s="10"/>
    </row>
    <row r="7" spans="1:5" ht="18.75">
      <c r="A7" s="11" t="s">
        <v>211</v>
      </c>
      <c r="B7" s="13" t="s">
        <v>212</v>
      </c>
      <c r="C7" s="8">
        <v>5</v>
      </c>
      <c r="D7" s="9"/>
      <c r="E7" s="10"/>
    </row>
    <row r="8" spans="1:5" ht="18.75">
      <c r="A8" s="11" t="s">
        <v>213</v>
      </c>
      <c r="B8" s="14" t="s">
        <v>214</v>
      </c>
      <c r="C8" s="8">
        <v>5</v>
      </c>
      <c r="D8" s="9"/>
      <c r="E8" s="10"/>
    </row>
    <row r="9" spans="1:5" ht="18.75">
      <c r="A9" s="11" t="s">
        <v>215</v>
      </c>
      <c r="B9" s="14" t="s">
        <v>216</v>
      </c>
      <c r="C9" s="8">
        <v>5</v>
      </c>
      <c r="D9" s="9"/>
      <c r="E9" s="10"/>
    </row>
    <row r="10" spans="1:5" ht="18.75">
      <c r="A10" s="11" t="s">
        <v>217</v>
      </c>
      <c r="B10" s="14" t="s">
        <v>218</v>
      </c>
      <c r="C10" s="8">
        <v>5</v>
      </c>
      <c r="D10" s="9"/>
      <c r="E10" s="10"/>
    </row>
    <row r="11" spans="1:5" ht="37.5">
      <c r="A11" s="11" t="s">
        <v>219</v>
      </c>
      <c r="B11" s="7" t="s">
        <v>220</v>
      </c>
      <c r="C11" s="8">
        <v>5</v>
      </c>
      <c r="D11" s="9"/>
      <c r="E11" s="10"/>
    </row>
    <row r="12" spans="1:5" ht="37.5">
      <c r="A12" s="11" t="s">
        <v>221</v>
      </c>
      <c r="B12" s="7" t="s">
        <v>222</v>
      </c>
      <c r="C12" s="8">
        <v>5</v>
      </c>
      <c r="D12" s="9"/>
      <c r="E12" s="10"/>
    </row>
    <row r="13" spans="1:5" ht="56.25">
      <c r="A13" s="15" t="s">
        <v>223</v>
      </c>
      <c r="B13" s="16" t="s">
        <v>224</v>
      </c>
      <c r="C13" s="17">
        <v>5</v>
      </c>
      <c r="D13" s="18"/>
      <c r="E13" s="19"/>
    </row>
    <row r="14" spans="1:5" ht="37.5">
      <c r="A14" s="20" t="s">
        <v>225</v>
      </c>
      <c r="B14" s="21" t="s">
        <v>226</v>
      </c>
      <c r="C14" s="22" t="s">
        <v>227</v>
      </c>
      <c r="D14" s="23"/>
      <c r="E14" s="24"/>
    </row>
    <row r="15" spans="1:5" ht="37.5">
      <c r="A15" s="11" t="s">
        <v>228</v>
      </c>
      <c r="B15" s="7" t="s">
        <v>229</v>
      </c>
      <c r="C15" s="8" t="s">
        <v>227</v>
      </c>
      <c r="D15" s="9"/>
      <c r="E15" s="25"/>
    </row>
    <row r="16" spans="1:5" ht="37.5">
      <c r="A16" s="11" t="s">
        <v>230</v>
      </c>
      <c r="B16" s="7" t="s">
        <v>231</v>
      </c>
      <c r="C16" s="8" t="s">
        <v>227</v>
      </c>
      <c r="D16" s="9"/>
      <c r="E16" s="25"/>
    </row>
    <row r="17" spans="1:5" ht="37.5">
      <c r="A17" s="11" t="s">
        <v>232</v>
      </c>
      <c r="B17" s="7" t="s">
        <v>233</v>
      </c>
      <c r="C17" s="8" t="s">
        <v>227</v>
      </c>
      <c r="D17" s="9"/>
      <c r="E17" s="25"/>
    </row>
    <row r="18" spans="1:5" ht="37.5">
      <c r="A18" s="11" t="s">
        <v>234</v>
      </c>
      <c r="B18" s="7" t="s">
        <v>235</v>
      </c>
      <c r="C18" s="8" t="s">
        <v>236</v>
      </c>
      <c r="D18" s="12"/>
      <c r="E18" s="10"/>
    </row>
    <row r="19" spans="1:5" ht="37.5">
      <c r="A19" s="11" t="s">
        <v>237</v>
      </c>
      <c r="B19" s="7" t="s">
        <v>238</v>
      </c>
      <c r="C19" s="8" t="s">
        <v>236</v>
      </c>
      <c r="D19" s="12"/>
      <c r="E19" s="10"/>
    </row>
    <row r="20" spans="1:5" ht="37.5">
      <c r="A20" s="11" t="s">
        <v>239</v>
      </c>
      <c r="B20" s="7" t="s">
        <v>238</v>
      </c>
      <c r="C20" s="8" t="s">
        <v>236</v>
      </c>
      <c r="D20" s="12"/>
      <c r="E20" s="10"/>
    </row>
    <row r="21" spans="1:5" ht="37.5">
      <c r="A21" s="11" t="s">
        <v>240</v>
      </c>
      <c r="B21" s="7" t="s">
        <v>241</v>
      </c>
      <c r="C21" s="8" t="s">
        <v>236</v>
      </c>
      <c r="D21" s="12"/>
      <c r="E21" s="10"/>
    </row>
    <row r="22" spans="1:5" ht="37.5">
      <c r="A22" s="11" t="s">
        <v>242</v>
      </c>
      <c r="B22" s="7" t="s">
        <v>243</v>
      </c>
      <c r="C22" s="8" t="s">
        <v>227</v>
      </c>
      <c r="D22" s="9"/>
      <c r="E22" s="25"/>
    </row>
    <row r="23" spans="1:5" ht="37.5">
      <c r="A23" s="11" t="s">
        <v>244</v>
      </c>
      <c r="B23" s="7" t="s">
        <v>245</v>
      </c>
      <c r="C23" s="8" t="s">
        <v>227</v>
      </c>
      <c r="D23" s="9"/>
      <c r="E23" s="25"/>
    </row>
    <row r="24" spans="1:5" ht="37.5">
      <c r="A24" s="11" t="s">
        <v>246</v>
      </c>
      <c r="B24" s="7" t="s">
        <v>247</v>
      </c>
      <c r="C24" s="8" t="s">
        <v>227</v>
      </c>
      <c r="D24" s="9"/>
      <c r="E24" s="25"/>
    </row>
    <row r="25" spans="1:5" ht="37.5">
      <c r="A25" s="11" t="s">
        <v>248</v>
      </c>
      <c r="B25" s="7" t="s">
        <v>250</v>
      </c>
      <c r="C25" s="8" t="s">
        <v>227</v>
      </c>
      <c r="D25" s="9"/>
      <c r="E25" s="25"/>
    </row>
    <row r="26" spans="1:5" ht="37.5">
      <c r="A26" s="11" t="s">
        <v>251</v>
      </c>
      <c r="B26" s="7" t="s">
        <v>252</v>
      </c>
      <c r="C26" s="8" t="s">
        <v>227</v>
      </c>
      <c r="D26" s="9"/>
      <c r="E26" s="25"/>
    </row>
    <row r="27" spans="1:5" ht="37.5">
      <c r="A27" s="15" t="s">
        <v>253</v>
      </c>
      <c r="B27" s="16" t="s">
        <v>254</v>
      </c>
      <c r="C27" s="17" t="s">
        <v>255</v>
      </c>
      <c r="D27" s="26"/>
      <c r="E27" s="19"/>
    </row>
  </sheetData>
  <sheetProtection selectLockedCells="1" selectUnlockedCells="1"/>
  <printOptions/>
  <pageMargins left="0.39375" right="0.39375" top="0.9840277777777777" bottom="0.39375" header="0.5118055555555555" footer="0.5118055555555555"/>
  <pageSetup horizontalDpi="300" verticalDpi="3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8"/>
  <sheetViews>
    <sheetView zoomScale="75" zoomScaleNormal="75" zoomScaleSheetLayoutView="80" zoomScalePageLayoutView="0" workbookViewId="0" topLeftCell="A7">
      <selection activeCell="C36" sqref="C36"/>
    </sheetView>
  </sheetViews>
  <sheetFormatPr defaultColWidth="8.796875" defaultRowHeight="15"/>
  <cols>
    <col min="1" max="1" width="17.69921875" style="1" customWidth="1"/>
    <col min="2" max="2" width="57.3984375" style="1" customWidth="1"/>
    <col min="3" max="3" width="16.3984375" style="1" customWidth="1"/>
  </cols>
  <sheetData>
    <row r="2" ht="15.75">
      <c r="C2" s="112" t="s">
        <v>799</v>
      </c>
    </row>
    <row r="3" ht="15.75">
      <c r="C3" s="112" t="s">
        <v>629</v>
      </c>
    </row>
    <row r="4" ht="15.75">
      <c r="C4" s="112" t="s">
        <v>630</v>
      </c>
    </row>
    <row r="5" ht="15.75">
      <c r="C5" s="112"/>
    </row>
    <row r="6" spans="1:16" ht="42.75" customHeight="1">
      <c r="A6" s="710" t="s">
        <v>218</v>
      </c>
      <c r="B6" s="710"/>
      <c r="C6" s="710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</row>
    <row r="7" ht="15.75">
      <c r="C7" s="112"/>
    </row>
    <row r="8" ht="15.75">
      <c r="C8" s="112" t="s">
        <v>256</v>
      </c>
    </row>
    <row r="9" ht="15.75">
      <c r="C9" s="112" t="s">
        <v>631</v>
      </c>
    </row>
    <row r="10" ht="15.75">
      <c r="C10" s="112"/>
    </row>
    <row r="11" ht="15.75">
      <c r="C11" s="115" t="s">
        <v>259</v>
      </c>
    </row>
    <row r="12" ht="15.75">
      <c r="C12" s="112" t="s">
        <v>260</v>
      </c>
    </row>
    <row r="13" ht="15.75">
      <c r="C13" s="112" t="s">
        <v>261</v>
      </c>
    </row>
    <row r="16" spans="1:3" ht="21.75" customHeight="1">
      <c r="A16" s="284" t="s">
        <v>621</v>
      </c>
      <c r="B16" s="117" t="s">
        <v>800</v>
      </c>
      <c r="C16" s="285" t="s">
        <v>801</v>
      </c>
    </row>
    <row r="17" spans="1:3" ht="15.75" customHeight="1">
      <c r="A17" s="286" t="s">
        <v>653</v>
      </c>
      <c r="B17" s="711" t="s">
        <v>802</v>
      </c>
      <c r="C17" s="711"/>
    </row>
    <row r="18" spans="1:3" ht="15.75">
      <c r="A18" s="287" t="s">
        <v>199</v>
      </c>
      <c r="B18" s="288" t="s">
        <v>803</v>
      </c>
      <c r="C18" s="289" t="s">
        <v>804</v>
      </c>
    </row>
    <row r="19" spans="1:3" ht="31.5">
      <c r="A19" s="287" t="s">
        <v>201</v>
      </c>
      <c r="B19" s="288" t="s">
        <v>805</v>
      </c>
      <c r="C19" s="289" t="s">
        <v>806</v>
      </c>
    </row>
    <row r="20" spans="1:3" ht="15.75" customHeight="1">
      <c r="A20" s="287" t="s">
        <v>308</v>
      </c>
      <c r="B20" s="709" t="s">
        <v>807</v>
      </c>
      <c r="C20" s="709"/>
    </row>
    <row r="21" spans="1:3" ht="15.75">
      <c r="A21" s="287" t="s">
        <v>209</v>
      </c>
      <c r="B21" s="290" t="s">
        <v>808</v>
      </c>
      <c r="C21" s="289" t="s">
        <v>809</v>
      </c>
    </row>
    <row r="22" spans="1:3" ht="15.75">
      <c r="A22" s="287" t="s">
        <v>211</v>
      </c>
      <c r="B22" s="290" t="s">
        <v>810</v>
      </c>
      <c r="C22" s="289" t="s">
        <v>806</v>
      </c>
    </row>
    <row r="23" spans="1:3" ht="31.5" customHeight="1">
      <c r="A23" s="287" t="s">
        <v>213</v>
      </c>
      <c r="B23" s="290" t="s">
        <v>811</v>
      </c>
      <c r="C23" s="289" t="s">
        <v>809</v>
      </c>
    </row>
    <row r="24" spans="1:3" ht="31.5" customHeight="1">
      <c r="A24" s="287" t="s">
        <v>812</v>
      </c>
      <c r="B24" s="290" t="s">
        <v>813</v>
      </c>
      <c r="C24" s="289" t="s">
        <v>806</v>
      </c>
    </row>
    <row r="25" spans="1:3" ht="31.5">
      <c r="A25" s="287" t="s">
        <v>814</v>
      </c>
      <c r="B25" s="288" t="s">
        <v>815</v>
      </c>
      <c r="C25" s="289" t="s">
        <v>809</v>
      </c>
    </row>
    <row r="26" spans="1:3" ht="34.5" customHeight="1">
      <c r="A26" s="287" t="s">
        <v>816</v>
      </c>
      <c r="B26" s="288" t="s">
        <v>817</v>
      </c>
      <c r="C26" s="289" t="s">
        <v>809</v>
      </c>
    </row>
    <row r="27" spans="1:3" ht="15.75" customHeight="1">
      <c r="A27" s="287">
        <v>3</v>
      </c>
      <c r="B27" s="709" t="s">
        <v>818</v>
      </c>
      <c r="C27" s="709"/>
    </row>
    <row r="28" spans="1:3" ht="31.5">
      <c r="A28" s="287" t="s">
        <v>215</v>
      </c>
      <c r="B28" s="288" t="s">
        <v>819</v>
      </c>
      <c r="C28" s="289" t="s">
        <v>809</v>
      </c>
    </row>
    <row r="29" spans="1:3" ht="31.5">
      <c r="A29" s="287" t="s">
        <v>217</v>
      </c>
      <c r="B29" s="288" t="s">
        <v>820</v>
      </c>
      <c r="C29" s="289" t="s">
        <v>809</v>
      </c>
    </row>
    <row r="30" spans="1:3" ht="24.75" customHeight="1">
      <c r="A30" s="287" t="s">
        <v>821</v>
      </c>
      <c r="B30" s="288" t="s">
        <v>822</v>
      </c>
      <c r="C30" s="289" t="s">
        <v>809</v>
      </c>
    </row>
    <row r="31" spans="1:3" ht="15.75">
      <c r="A31" s="287" t="s">
        <v>823</v>
      </c>
      <c r="B31" s="288" t="s">
        <v>824</v>
      </c>
      <c r="C31" s="289" t="s">
        <v>809</v>
      </c>
    </row>
    <row r="32" spans="1:3" ht="15.75" customHeight="1">
      <c r="A32" s="287">
        <v>4</v>
      </c>
      <c r="B32" s="709" t="s">
        <v>825</v>
      </c>
      <c r="C32" s="709"/>
    </row>
    <row r="33" spans="1:3" ht="15.75">
      <c r="A33" s="287" t="s">
        <v>219</v>
      </c>
      <c r="B33" s="288" t="s">
        <v>826</v>
      </c>
      <c r="C33" s="289" t="s">
        <v>806</v>
      </c>
    </row>
    <row r="34" spans="1:3" ht="47.25">
      <c r="A34" s="287" t="s">
        <v>221</v>
      </c>
      <c r="B34" s="288" t="s">
        <v>827</v>
      </c>
      <c r="C34" s="289" t="s">
        <v>806</v>
      </c>
    </row>
    <row r="35" spans="1:3" ht="15.75">
      <c r="A35" s="287" t="s">
        <v>223</v>
      </c>
      <c r="B35" s="288" t="s">
        <v>828</v>
      </c>
      <c r="C35" s="289" t="s">
        <v>809</v>
      </c>
    </row>
    <row r="36" spans="1:3" ht="31.5">
      <c r="A36" s="287" t="s">
        <v>829</v>
      </c>
      <c r="B36" s="288" t="s">
        <v>830</v>
      </c>
      <c r="C36" s="289" t="s">
        <v>809</v>
      </c>
    </row>
    <row r="37" spans="1:3" ht="15.75">
      <c r="A37" s="287" t="s">
        <v>831</v>
      </c>
      <c r="B37" s="288" t="s">
        <v>832</v>
      </c>
      <c r="C37" s="289" t="s">
        <v>806</v>
      </c>
    </row>
    <row r="38" spans="1:3" ht="15.75">
      <c r="A38" s="287" t="s">
        <v>833</v>
      </c>
      <c r="B38" s="288" t="s">
        <v>834</v>
      </c>
      <c r="C38" s="289" t="s">
        <v>806</v>
      </c>
    </row>
    <row r="39" spans="1:3" ht="15.75" customHeight="1">
      <c r="A39" s="287">
        <v>5</v>
      </c>
      <c r="B39" s="709" t="s">
        <v>835</v>
      </c>
      <c r="C39" s="709"/>
    </row>
    <row r="40" spans="1:3" ht="15.75">
      <c r="A40" s="287" t="s">
        <v>836</v>
      </c>
      <c r="B40" s="288" t="s">
        <v>837</v>
      </c>
      <c r="C40" s="291" t="s">
        <v>809</v>
      </c>
    </row>
    <row r="41" spans="1:3" ht="31.5">
      <c r="A41" s="287" t="s">
        <v>838</v>
      </c>
      <c r="B41" s="288" t="s">
        <v>839</v>
      </c>
      <c r="C41" s="291" t="s">
        <v>809</v>
      </c>
    </row>
    <row r="42" spans="1:3" ht="31.5">
      <c r="A42" s="287" t="s">
        <v>840</v>
      </c>
      <c r="B42" s="288" t="s">
        <v>841</v>
      </c>
      <c r="C42" s="289" t="s">
        <v>806</v>
      </c>
    </row>
    <row r="43" spans="1:3" ht="31.5">
      <c r="A43" s="287" t="s">
        <v>842</v>
      </c>
      <c r="B43" s="288" t="s">
        <v>843</v>
      </c>
      <c r="C43" s="289" t="s">
        <v>809</v>
      </c>
    </row>
    <row r="44" spans="1:3" ht="31.5">
      <c r="A44" s="287" t="s">
        <v>844</v>
      </c>
      <c r="B44" s="288" t="s">
        <v>845</v>
      </c>
      <c r="C44" s="289" t="s">
        <v>806</v>
      </c>
    </row>
    <row r="45" spans="1:3" ht="31.5">
      <c r="A45" s="287" t="s">
        <v>846</v>
      </c>
      <c r="B45" s="288" t="s">
        <v>847</v>
      </c>
      <c r="C45" s="289" t="s">
        <v>806</v>
      </c>
    </row>
    <row r="47" spans="1:3" ht="15.75" customHeight="1">
      <c r="A47" s="287">
        <v>6</v>
      </c>
      <c r="B47" s="709" t="s">
        <v>848</v>
      </c>
      <c r="C47" s="709"/>
    </row>
    <row r="48" spans="1:3" ht="31.5">
      <c r="A48" s="287" t="s">
        <v>228</v>
      </c>
      <c r="B48" s="288" t="s">
        <v>849</v>
      </c>
      <c r="C48" s="289" t="s">
        <v>806</v>
      </c>
    </row>
    <row r="49" spans="1:3" ht="15.75">
      <c r="A49" s="287" t="s">
        <v>230</v>
      </c>
      <c r="B49" s="288" t="s">
        <v>850</v>
      </c>
      <c r="C49" s="289" t="s">
        <v>806</v>
      </c>
    </row>
    <row r="50" spans="1:3" ht="31.5">
      <c r="A50" s="287" t="s">
        <v>232</v>
      </c>
      <c r="B50" s="288" t="s">
        <v>851</v>
      </c>
      <c r="C50" s="289" t="s">
        <v>809</v>
      </c>
    </row>
    <row r="51" spans="1:3" ht="63">
      <c r="A51" s="292" t="s">
        <v>852</v>
      </c>
      <c r="B51" s="293" t="s">
        <v>853</v>
      </c>
      <c r="C51" s="294" t="s">
        <v>809</v>
      </c>
    </row>
    <row r="54" spans="1:3" ht="33" customHeight="1">
      <c r="A54" s="710" t="s">
        <v>854</v>
      </c>
      <c r="B54" s="710"/>
      <c r="C54" s="710"/>
    </row>
    <row r="56" spans="1:3" ht="15.75">
      <c r="A56" s="295" t="s">
        <v>621</v>
      </c>
      <c r="B56" s="296" t="s">
        <v>800</v>
      </c>
      <c r="C56" s="297" t="s">
        <v>801</v>
      </c>
    </row>
    <row r="57" spans="1:3" ht="15.75">
      <c r="A57" s="286">
        <v>1</v>
      </c>
      <c r="B57" s="298" t="s">
        <v>855</v>
      </c>
      <c r="C57" s="299"/>
    </row>
    <row r="58" spans="1:3" ht="15.75">
      <c r="A58" s="287" t="s">
        <v>199</v>
      </c>
      <c r="B58" s="300" t="s">
        <v>856</v>
      </c>
      <c r="C58" s="289" t="s">
        <v>809</v>
      </c>
    </row>
    <row r="59" spans="1:3" ht="15.75">
      <c r="A59" s="287" t="s">
        <v>201</v>
      </c>
      <c r="B59" s="300" t="s">
        <v>857</v>
      </c>
      <c r="C59" s="289" t="s">
        <v>809</v>
      </c>
    </row>
    <row r="60" spans="1:3" ht="15.75">
      <c r="A60" s="287" t="s">
        <v>204</v>
      </c>
      <c r="B60" s="288" t="s">
        <v>858</v>
      </c>
      <c r="C60" s="289" t="s">
        <v>809</v>
      </c>
    </row>
    <row r="61" spans="1:3" ht="31.5">
      <c r="A61" s="287" t="s">
        <v>206</v>
      </c>
      <c r="B61" s="288" t="s">
        <v>859</v>
      </c>
      <c r="C61" s="289" t="s">
        <v>809</v>
      </c>
    </row>
    <row r="62" spans="1:3" ht="15.75">
      <c r="A62" s="287" t="s">
        <v>860</v>
      </c>
      <c r="B62" s="288" t="s">
        <v>861</v>
      </c>
      <c r="C62" s="289" t="s">
        <v>809</v>
      </c>
    </row>
    <row r="63" spans="1:3" ht="15.75">
      <c r="A63" s="287" t="s">
        <v>862</v>
      </c>
      <c r="B63" s="288" t="s">
        <v>868</v>
      </c>
      <c r="C63" s="289" t="s">
        <v>806</v>
      </c>
    </row>
    <row r="64" spans="1:3" ht="15.75">
      <c r="A64" s="287">
        <v>2</v>
      </c>
      <c r="B64" s="301" t="s">
        <v>818</v>
      </c>
      <c r="C64" s="302"/>
    </row>
    <row r="65" spans="1:3" ht="15.75">
      <c r="A65" s="287" t="s">
        <v>209</v>
      </c>
      <c r="B65" s="288" t="s">
        <v>869</v>
      </c>
      <c r="C65" s="289" t="s">
        <v>809</v>
      </c>
    </row>
    <row r="66" spans="1:3" ht="31.5">
      <c r="A66" s="287" t="s">
        <v>211</v>
      </c>
      <c r="B66" s="288" t="s">
        <v>870</v>
      </c>
      <c r="C66" s="289" t="s">
        <v>809</v>
      </c>
    </row>
    <row r="67" spans="1:3" ht="15.75">
      <c r="A67" s="287" t="s">
        <v>213</v>
      </c>
      <c r="B67" s="288" t="s">
        <v>871</v>
      </c>
      <c r="C67" s="289" t="s">
        <v>809</v>
      </c>
    </row>
    <row r="68" spans="1:3" ht="31.5">
      <c r="A68" s="287">
        <v>3</v>
      </c>
      <c r="B68" s="301" t="s">
        <v>872</v>
      </c>
      <c r="C68" s="302" t="s">
        <v>873</v>
      </c>
    </row>
    <row r="69" spans="1:3" ht="30.75" customHeight="1">
      <c r="A69" s="287" t="s">
        <v>215</v>
      </c>
      <c r="B69" s="288" t="s">
        <v>874</v>
      </c>
      <c r="C69" s="289" t="s">
        <v>806</v>
      </c>
    </row>
    <row r="70" spans="1:3" ht="15.75">
      <c r="A70" s="287" t="s">
        <v>217</v>
      </c>
      <c r="B70" s="288" t="s">
        <v>875</v>
      </c>
      <c r="C70" s="289" t="s">
        <v>809</v>
      </c>
    </row>
    <row r="71" spans="1:3" ht="15.75">
      <c r="A71" s="287" t="s">
        <v>821</v>
      </c>
      <c r="B71" s="288" t="s">
        <v>876</v>
      </c>
      <c r="C71" s="289" t="s">
        <v>806</v>
      </c>
    </row>
    <row r="72" spans="1:3" ht="15.75">
      <c r="A72" s="287" t="s">
        <v>877</v>
      </c>
      <c r="B72" s="288" t="s">
        <v>878</v>
      </c>
      <c r="C72" s="289" t="s">
        <v>806</v>
      </c>
    </row>
    <row r="73" spans="1:3" ht="15.75">
      <c r="A73" s="287" t="s">
        <v>879</v>
      </c>
      <c r="B73" s="288" t="s">
        <v>880</v>
      </c>
      <c r="C73" s="289" t="s">
        <v>809</v>
      </c>
    </row>
    <row r="74" spans="1:3" ht="15.75">
      <c r="A74" s="287">
        <v>4</v>
      </c>
      <c r="B74" s="301" t="s">
        <v>848</v>
      </c>
      <c r="C74" s="302"/>
    </row>
    <row r="75" spans="1:3" ht="15.75">
      <c r="A75" s="287" t="s">
        <v>219</v>
      </c>
      <c r="B75" s="288" t="s">
        <v>881</v>
      </c>
      <c r="C75" s="289" t="s">
        <v>806</v>
      </c>
    </row>
    <row r="76" spans="1:3" ht="31.5">
      <c r="A76" s="287" t="s">
        <v>221</v>
      </c>
      <c r="B76" s="288" t="s">
        <v>882</v>
      </c>
      <c r="C76" s="289" t="s">
        <v>809</v>
      </c>
    </row>
    <row r="77" spans="1:3" ht="15.75">
      <c r="A77" s="292" t="s">
        <v>223</v>
      </c>
      <c r="B77" s="293" t="s">
        <v>883</v>
      </c>
      <c r="C77" s="294" t="s">
        <v>809</v>
      </c>
    </row>
    <row r="78" spans="1:3" ht="15.75">
      <c r="A78" s="292" t="s">
        <v>829</v>
      </c>
      <c r="B78" s="293" t="s">
        <v>884</v>
      </c>
      <c r="C78" s="294" t="s">
        <v>809</v>
      </c>
    </row>
  </sheetData>
  <sheetProtection selectLockedCells="1" selectUnlockedCells="1"/>
  <mergeCells count="8">
    <mergeCell ref="B47:C47"/>
    <mergeCell ref="A54:C54"/>
    <mergeCell ref="A6:C6"/>
    <mergeCell ref="B17:C17"/>
    <mergeCell ref="B20:C20"/>
    <mergeCell ref="B27:C27"/>
    <mergeCell ref="B32:C32"/>
    <mergeCell ref="B39:C39"/>
  </mergeCells>
  <printOptions/>
  <pageMargins left="0.9763888888888889" right="0.425" top="0.39791666666666664" bottom="0.39791666666666664" header="0.5118055555555555" footer="0.5118055555555555"/>
  <pageSetup fitToHeight="2" fitToWidth="1"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="75" zoomScaleNormal="75" zoomScaleSheetLayoutView="80" zoomScalePageLayoutView="0" workbookViewId="0" topLeftCell="A6">
      <selection activeCell="B6" sqref="B6"/>
    </sheetView>
  </sheetViews>
  <sheetFormatPr defaultColWidth="8.796875" defaultRowHeight="15"/>
  <cols>
    <col min="1" max="1" width="7" style="1" customWidth="1"/>
    <col min="2" max="2" width="56.59765625" style="1" customWidth="1"/>
    <col min="3" max="3" width="0" style="1" hidden="1" customWidth="1"/>
    <col min="4" max="4" width="17.59765625" style="1" customWidth="1"/>
    <col min="5" max="7" width="0" style="1" hidden="1" customWidth="1"/>
  </cols>
  <sheetData>
    <row r="1" spans="1:9" s="181" customFormat="1" ht="29.25" customHeight="1">
      <c r="A1" s="712" t="s">
        <v>220</v>
      </c>
      <c r="B1" s="712"/>
      <c r="C1" s="712"/>
      <c r="D1" s="712"/>
      <c r="E1" s="712"/>
      <c r="F1" s="712"/>
      <c r="G1" s="712"/>
      <c r="H1"/>
      <c r="I1"/>
    </row>
    <row r="2" spans="1:9" s="181" customFormat="1" ht="15.75">
      <c r="A2" s="1"/>
      <c r="B2" s="112"/>
      <c r="C2" s="1"/>
      <c r="D2" s="112" t="s">
        <v>256</v>
      </c>
      <c r="E2" s="112"/>
      <c r="F2" s="112"/>
      <c r="G2" s="112"/>
      <c r="H2"/>
      <c r="I2"/>
    </row>
    <row r="3" spans="1:9" s="181" customFormat="1" ht="15.75">
      <c r="A3" s="1"/>
      <c r="B3" s="112"/>
      <c r="C3" s="1"/>
      <c r="D3" s="112" t="s">
        <v>885</v>
      </c>
      <c r="E3" s="112"/>
      <c r="F3" s="112"/>
      <c r="G3" s="112"/>
      <c r="H3"/>
      <c r="I3"/>
    </row>
    <row r="4" spans="1:9" s="181" customFormat="1" ht="15.75">
      <c r="A4" s="1"/>
      <c r="B4" s="112"/>
      <c r="C4" s="1"/>
      <c r="D4" s="112" t="s">
        <v>886</v>
      </c>
      <c r="E4" s="112"/>
      <c r="F4" s="112"/>
      <c r="G4" s="112"/>
      <c r="H4"/>
      <c r="I4"/>
    </row>
    <row r="5" spans="1:9" s="181" customFormat="1" ht="15.75">
      <c r="A5" s="1"/>
      <c r="B5" s="115"/>
      <c r="C5" s="1"/>
      <c r="D5" s="115" t="s">
        <v>259</v>
      </c>
      <c r="E5" s="115"/>
      <c r="F5" s="115"/>
      <c r="G5" s="115"/>
      <c r="H5"/>
      <c r="I5"/>
    </row>
    <row r="6" spans="1:9" s="181" customFormat="1" ht="33" customHeight="1">
      <c r="A6" s="1"/>
      <c r="B6" s="112"/>
      <c r="C6" s="1"/>
      <c r="D6" s="112" t="s">
        <v>887</v>
      </c>
      <c r="E6" s="112"/>
      <c r="F6" s="112"/>
      <c r="G6" s="112"/>
      <c r="H6"/>
      <c r="I6"/>
    </row>
    <row r="7" spans="1:9" s="181" customFormat="1" ht="33" customHeight="1">
      <c r="A7" s="1"/>
      <c r="B7" s="112"/>
      <c r="C7" s="1"/>
      <c r="D7" s="112" t="s">
        <v>261</v>
      </c>
      <c r="E7" s="112"/>
      <c r="F7" s="112"/>
      <c r="G7" s="112"/>
      <c r="H7"/>
      <c r="I7"/>
    </row>
    <row r="8" spans="1:9" s="181" customFormat="1" ht="15.75">
      <c r="A8" s="1"/>
      <c r="B8" s="112"/>
      <c r="C8" s="1"/>
      <c r="D8" s="303" t="s">
        <v>888</v>
      </c>
      <c r="E8" s="112"/>
      <c r="F8" s="112"/>
      <c r="G8" s="112"/>
      <c r="H8"/>
      <c r="I8"/>
    </row>
    <row r="9" spans="1:9" s="181" customFormat="1" ht="12.75" customHeight="1">
      <c r="A9" s="713" t="s">
        <v>621</v>
      </c>
      <c r="B9" s="714" t="s">
        <v>889</v>
      </c>
      <c r="C9" s="304">
        <v>2012</v>
      </c>
      <c r="D9" s="304">
        <v>2013</v>
      </c>
      <c r="E9" s="304">
        <v>2014</v>
      </c>
      <c r="F9" s="304">
        <v>2015</v>
      </c>
      <c r="G9" s="305">
        <v>2016</v>
      </c>
      <c r="H9"/>
      <c r="I9"/>
    </row>
    <row r="10" spans="1:9" s="181" customFormat="1" ht="12.75" customHeight="1">
      <c r="A10" s="713"/>
      <c r="B10" s="714"/>
      <c r="C10" s="715" t="s">
        <v>890</v>
      </c>
      <c r="D10" s="715" t="s">
        <v>890</v>
      </c>
      <c r="E10" s="715" t="s">
        <v>890</v>
      </c>
      <c r="F10" s="715" t="s">
        <v>890</v>
      </c>
      <c r="G10" s="716" t="s">
        <v>890</v>
      </c>
      <c r="H10"/>
      <c r="I10"/>
    </row>
    <row r="11" spans="1:9" s="181" customFormat="1" ht="15.75" customHeight="1">
      <c r="A11" s="713"/>
      <c r="B11" s="714"/>
      <c r="C11" s="715"/>
      <c r="D11" s="715"/>
      <c r="E11" s="715"/>
      <c r="F11" s="715"/>
      <c r="G11" s="716"/>
      <c r="H11"/>
      <c r="I11"/>
    </row>
    <row r="12" spans="1:9" s="181" customFormat="1" ht="15.75" customHeight="1">
      <c r="A12" s="307">
        <v>1</v>
      </c>
      <c r="B12" s="308">
        <v>2</v>
      </c>
      <c r="C12" s="308"/>
      <c r="D12" s="308"/>
      <c r="E12" s="308">
        <v>3</v>
      </c>
      <c r="F12" s="308">
        <v>4</v>
      </c>
      <c r="G12" s="309">
        <v>5</v>
      </c>
      <c r="H12"/>
      <c r="I12"/>
    </row>
    <row r="13" spans="1:9" s="181" customFormat="1" ht="15.75">
      <c r="A13" s="310" t="s">
        <v>891</v>
      </c>
      <c r="B13" s="311" t="s">
        <v>892</v>
      </c>
      <c r="C13" s="312">
        <f>SUM(C15:C17)</f>
        <v>475.19</v>
      </c>
      <c r="D13" s="312">
        <f>SUM(D15:D17)</f>
        <v>559.0641999999999</v>
      </c>
      <c r="E13" s="312">
        <f>SUM(E15:E17)</f>
        <v>636.0760925084745</v>
      </c>
      <c r="F13" s="312">
        <f>SUM(F15:F17)</f>
        <v>692.3897204952542</v>
      </c>
      <c r="G13" s="312">
        <f>SUM(G15:G17)</f>
        <v>753.1429309330474</v>
      </c>
      <c r="H13"/>
      <c r="I13"/>
    </row>
    <row r="14" spans="1:9" s="181" customFormat="1" ht="15.75">
      <c r="A14" s="313"/>
      <c r="B14" s="314" t="s">
        <v>893</v>
      </c>
      <c r="C14" s="315"/>
      <c r="D14" s="316"/>
      <c r="E14" s="317"/>
      <c r="F14" s="317"/>
      <c r="G14" s="318"/>
      <c r="H14"/>
      <c r="I14"/>
    </row>
    <row r="15" spans="1:9" s="181" customFormat="1" ht="15.75">
      <c r="A15" s="313" t="s">
        <v>199</v>
      </c>
      <c r="B15" s="314" t="s">
        <v>894</v>
      </c>
      <c r="C15" s="315">
        <v>463.19</v>
      </c>
      <c r="D15" s="315">
        <f>C15*1.18</f>
        <v>546.5641999999999</v>
      </c>
      <c r="E15" s="319">
        <f>D15*1.11</f>
        <v>606.6862619999999</v>
      </c>
      <c r="F15" s="319">
        <f>E15*1.09</f>
        <v>661.28802558</v>
      </c>
      <c r="G15" s="320">
        <f>F15*1.09</f>
        <v>720.8039478822</v>
      </c>
      <c r="H15"/>
      <c r="I15"/>
    </row>
    <row r="16" spans="1:9" s="181" customFormat="1" ht="15.75" customHeight="1" hidden="1">
      <c r="A16" s="321" t="s">
        <v>201</v>
      </c>
      <c r="B16" s="314" t="s">
        <v>895</v>
      </c>
      <c r="C16" s="315"/>
      <c r="D16" s="315"/>
      <c r="E16" s="319">
        <f>21.7/118*100</f>
        <v>18.389830508474574</v>
      </c>
      <c r="F16" s="319">
        <f>23.13/118*100</f>
        <v>19.601694915254235</v>
      </c>
      <c r="G16" s="320">
        <f>24/118*100</f>
        <v>20.33898305084746</v>
      </c>
      <c r="H16"/>
      <c r="I16"/>
    </row>
    <row r="17" spans="1:9" s="181" customFormat="1" ht="15.75" customHeight="1">
      <c r="A17" s="321" t="s">
        <v>201</v>
      </c>
      <c r="B17" s="322" t="s">
        <v>896</v>
      </c>
      <c r="C17" s="323">
        <v>12</v>
      </c>
      <c r="D17" s="323">
        <v>12.5</v>
      </c>
      <c r="E17" s="324">
        <v>11</v>
      </c>
      <c r="F17" s="324">
        <v>11.5</v>
      </c>
      <c r="G17" s="325">
        <v>12</v>
      </c>
      <c r="H17"/>
      <c r="I17"/>
    </row>
    <row r="18" spans="1:9" s="181" customFormat="1" ht="15.75">
      <c r="A18" s="326" t="s">
        <v>897</v>
      </c>
      <c r="B18" s="327" t="s">
        <v>898</v>
      </c>
      <c r="C18" s="328">
        <f>C19+C24+C25+C26+C27</f>
        <v>424.14</v>
      </c>
      <c r="D18" s="328">
        <f>D19+D24+D25+D26+D27</f>
        <v>449.98</v>
      </c>
      <c r="E18" s="328">
        <f>E19+E24+E25+E26+E27</f>
        <v>537.976955</v>
      </c>
      <c r="F18" s="328">
        <f>F19+F24+F25+F26+F27</f>
        <v>577.4377266250001</v>
      </c>
      <c r="G18" s="328">
        <f>G19+G24+G25+G26+G27</f>
        <v>615.3580561218749</v>
      </c>
      <c r="H18"/>
      <c r="I18"/>
    </row>
    <row r="19" spans="1:9" s="181" customFormat="1" ht="15.75">
      <c r="A19" s="329" t="s">
        <v>653</v>
      </c>
      <c r="B19" s="330" t="s">
        <v>899</v>
      </c>
      <c r="C19" s="331">
        <f>SUM(C21:C23)</f>
        <v>189.13</v>
      </c>
      <c r="D19" s="331">
        <f>SUM(D21:D23)</f>
        <v>200.47780000000003</v>
      </c>
      <c r="E19" s="331">
        <f>SUM(E21:E23)</f>
        <v>228.375955</v>
      </c>
      <c r="F19" s="331">
        <f>SUM(F21:F23)</f>
        <v>248.879151625</v>
      </c>
      <c r="G19" s="331">
        <f>SUM(G21:G23)</f>
        <v>266.570087996875</v>
      </c>
      <c r="H19"/>
      <c r="I19"/>
    </row>
    <row r="20" spans="1:9" s="181" customFormat="1" ht="15.75">
      <c r="A20" s="313"/>
      <c r="B20" s="314" t="s">
        <v>893</v>
      </c>
      <c r="C20" s="315"/>
      <c r="D20" s="316"/>
      <c r="E20" s="332"/>
      <c r="F20" s="332"/>
      <c r="G20" s="333"/>
      <c r="H20"/>
      <c r="I20"/>
    </row>
    <row r="21" spans="1:9" s="181" customFormat="1" ht="15.75">
      <c r="A21" s="313" t="s">
        <v>199</v>
      </c>
      <c r="B21" s="314" t="s">
        <v>900</v>
      </c>
      <c r="C21" s="315">
        <v>8.14</v>
      </c>
      <c r="D21" s="315">
        <f>C21*1.06</f>
        <v>8.628400000000001</v>
      </c>
      <c r="E21" s="315">
        <f aca="true" t="shared" si="0" ref="E21:G22">D21*1.075</f>
        <v>9.27553</v>
      </c>
      <c r="F21" s="315">
        <f t="shared" si="0"/>
        <v>9.971194749999999</v>
      </c>
      <c r="G21" s="315">
        <f t="shared" si="0"/>
        <v>10.719034356249999</v>
      </c>
      <c r="H21"/>
      <c r="I21"/>
    </row>
    <row r="22" spans="1:9" s="181" customFormat="1" ht="15.75">
      <c r="A22" s="313" t="s">
        <v>201</v>
      </c>
      <c r="B22" s="314" t="s">
        <v>901</v>
      </c>
      <c r="C22" s="315">
        <v>21.15</v>
      </c>
      <c r="D22" s="315">
        <f>C22*1.06</f>
        <v>22.419</v>
      </c>
      <c r="E22" s="315">
        <f t="shared" si="0"/>
        <v>24.100424999999998</v>
      </c>
      <c r="F22" s="315">
        <f t="shared" si="0"/>
        <v>25.907956874999996</v>
      </c>
      <c r="G22" s="315">
        <f t="shared" si="0"/>
        <v>27.851053640624993</v>
      </c>
      <c r="H22"/>
      <c r="I22"/>
    </row>
    <row r="23" spans="1:9" s="181" customFormat="1" ht="15.75">
      <c r="A23" s="313" t="s">
        <v>204</v>
      </c>
      <c r="B23" s="314" t="s">
        <v>902</v>
      </c>
      <c r="C23" s="315">
        <v>159.84</v>
      </c>
      <c r="D23" s="315">
        <f>C23*1.06</f>
        <v>169.43040000000002</v>
      </c>
      <c r="E23" s="319">
        <v>195</v>
      </c>
      <c r="F23" s="319">
        <v>213</v>
      </c>
      <c r="G23" s="319">
        <v>228</v>
      </c>
      <c r="H23"/>
      <c r="I23"/>
    </row>
    <row r="24" spans="1:9" s="181" customFormat="1" ht="15.75">
      <c r="A24" s="329" t="s">
        <v>308</v>
      </c>
      <c r="B24" s="330" t="s">
        <v>903</v>
      </c>
      <c r="C24" s="331">
        <v>161.14</v>
      </c>
      <c r="D24" s="331">
        <f>C24*1.06</f>
        <v>170.8084</v>
      </c>
      <c r="E24" s="331">
        <v>198.7</v>
      </c>
      <c r="F24" s="331">
        <f>E24*1.075</f>
        <v>213.6025</v>
      </c>
      <c r="G24" s="331">
        <f>F24*1.075</f>
        <v>229.62268749999998</v>
      </c>
      <c r="H24"/>
      <c r="I24"/>
    </row>
    <row r="25" spans="1:9" s="181" customFormat="1" ht="15.75">
      <c r="A25" s="329" t="s">
        <v>904</v>
      </c>
      <c r="B25" s="330" t="s">
        <v>905</v>
      </c>
      <c r="C25" s="331">
        <v>36.14</v>
      </c>
      <c r="D25" s="331">
        <v>38.7</v>
      </c>
      <c r="E25" s="334">
        <v>78</v>
      </c>
      <c r="F25" s="334">
        <v>79</v>
      </c>
      <c r="G25" s="334">
        <v>80</v>
      </c>
      <c r="H25"/>
      <c r="I25"/>
    </row>
    <row r="26" spans="1:9" s="181" customFormat="1" ht="15.75">
      <c r="A26" s="329" t="s">
        <v>906</v>
      </c>
      <c r="B26" s="330" t="s">
        <v>907</v>
      </c>
      <c r="C26" s="331">
        <v>14.23</v>
      </c>
      <c r="D26" s="331">
        <f>C26*1.06</f>
        <v>15.083800000000002</v>
      </c>
      <c r="E26" s="334">
        <v>5.5</v>
      </c>
      <c r="F26" s="334">
        <v>6.5</v>
      </c>
      <c r="G26" s="334">
        <v>7.5</v>
      </c>
      <c r="H26"/>
      <c r="I26"/>
    </row>
    <row r="27" spans="1:9" s="181" customFormat="1" ht="15.75">
      <c r="A27" s="329" t="s">
        <v>225</v>
      </c>
      <c r="B27" s="330" t="s">
        <v>908</v>
      </c>
      <c r="C27" s="331">
        <f>2.4+21.1</f>
        <v>23.5</v>
      </c>
      <c r="D27" s="331">
        <f>C27*1.06</f>
        <v>24.91</v>
      </c>
      <c r="E27" s="331">
        <f>D27*1.1</f>
        <v>27.401000000000003</v>
      </c>
      <c r="F27" s="331">
        <f>E27*1.075</f>
        <v>29.456075000000002</v>
      </c>
      <c r="G27" s="331">
        <f>F27*1.075</f>
        <v>31.665280625</v>
      </c>
      <c r="H27"/>
      <c r="I27"/>
    </row>
    <row r="28" spans="1:9" s="181" customFormat="1" ht="15.75">
      <c r="A28" s="313"/>
      <c r="B28" s="314" t="s">
        <v>893</v>
      </c>
      <c r="C28" s="315"/>
      <c r="D28" s="316"/>
      <c r="E28" s="332"/>
      <c r="F28" s="332"/>
      <c r="G28" s="333"/>
      <c r="H28"/>
      <c r="I28"/>
    </row>
    <row r="29" spans="1:9" s="181" customFormat="1" ht="15.75">
      <c r="A29" s="313" t="s">
        <v>836</v>
      </c>
      <c r="B29" s="314" t="s">
        <v>909</v>
      </c>
      <c r="C29" s="315">
        <v>2.34</v>
      </c>
      <c r="D29" s="315">
        <f>C29*1.06</f>
        <v>2.4804</v>
      </c>
      <c r="E29" s="332"/>
      <c r="F29" s="332"/>
      <c r="G29" s="333"/>
      <c r="H29"/>
      <c r="I29"/>
    </row>
    <row r="30" spans="1:9" s="181" customFormat="1" ht="15.75">
      <c r="A30" s="313" t="s">
        <v>840</v>
      </c>
      <c r="B30" s="314" t="s">
        <v>910</v>
      </c>
      <c r="C30" s="315">
        <v>3.4</v>
      </c>
      <c r="D30" s="315">
        <v>4</v>
      </c>
      <c r="E30" s="315">
        <v>6.2</v>
      </c>
      <c r="F30" s="315">
        <v>7.2</v>
      </c>
      <c r="G30" s="315">
        <v>8.2</v>
      </c>
      <c r="H30"/>
      <c r="I30"/>
    </row>
    <row r="31" spans="1:9" s="181" customFormat="1" ht="15.75">
      <c r="A31" s="335" t="s">
        <v>842</v>
      </c>
      <c r="B31" s="322" t="s">
        <v>911</v>
      </c>
      <c r="C31" s="323"/>
      <c r="D31" s="336"/>
      <c r="E31" s="337"/>
      <c r="F31" s="337"/>
      <c r="G31" s="338"/>
      <c r="H31"/>
      <c r="I31"/>
    </row>
    <row r="32" spans="1:9" s="181" customFormat="1" ht="15.75">
      <c r="A32" s="339" t="s">
        <v>912</v>
      </c>
      <c r="B32" s="340" t="s">
        <v>913</v>
      </c>
      <c r="C32" s="341">
        <f>C13-C18</f>
        <v>51.05000000000001</v>
      </c>
      <c r="D32" s="341">
        <f>D13-D18</f>
        <v>109.0841999999999</v>
      </c>
      <c r="E32" s="341">
        <f>E13-E18</f>
        <v>98.09913750847454</v>
      </c>
      <c r="F32" s="341">
        <f>F13-F18</f>
        <v>114.95199387025411</v>
      </c>
      <c r="G32" s="341">
        <f>G13-G18</f>
        <v>137.78487481117247</v>
      </c>
      <c r="H32"/>
      <c r="I32"/>
    </row>
    <row r="33" spans="1:9" s="181" customFormat="1" ht="15.75">
      <c r="A33" s="310" t="s">
        <v>914</v>
      </c>
      <c r="B33" s="311" t="s">
        <v>915</v>
      </c>
      <c r="C33" s="312">
        <f>C34-C38</f>
        <v>-2.4799999999999995</v>
      </c>
      <c r="D33" s="312">
        <f>D34-D38</f>
        <v>-2.6288</v>
      </c>
      <c r="E33" s="312">
        <f>E34-E38</f>
        <v>0</v>
      </c>
      <c r="F33" s="312">
        <f>F34-F38</f>
        <v>-2</v>
      </c>
      <c r="G33" s="312">
        <f>G34-G38</f>
        <v>-1.5</v>
      </c>
      <c r="H33"/>
      <c r="I33"/>
    </row>
    <row r="34" spans="1:9" s="181" customFormat="1" ht="15.75">
      <c r="A34" s="313" t="s">
        <v>653</v>
      </c>
      <c r="B34" s="314" t="s">
        <v>916</v>
      </c>
      <c r="C34" s="315">
        <v>7.72</v>
      </c>
      <c r="D34" s="315">
        <f>7.72*1.06</f>
        <v>8.1832</v>
      </c>
      <c r="E34" s="315">
        <v>7</v>
      </c>
      <c r="F34" s="315">
        <v>8</v>
      </c>
      <c r="G34" s="315">
        <v>9.5</v>
      </c>
      <c r="H34"/>
      <c r="I34"/>
    </row>
    <row r="35" spans="1:9" s="181" customFormat="1" ht="15.75">
      <c r="A35" s="313"/>
      <c r="B35" s="314" t="s">
        <v>917</v>
      </c>
      <c r="C35" s="315"/>
      <c r="D35" s="315"/>
      <c r="E35" s="332"/>
      <c r="F35" s="332"/>
      <c r="G35" s="333"/>
      <c r="H35"/>
      <c r="I35"/>
    </row>
    <row r="36" spans="1:9" s="181" customFormat="1" ht="15.75">
      <c r="A36" s="313" t="s">
        <v>199</v>
      </c>
      <c r="B36" s="314" t="s">
        <v>918</v>
      </c>
      <c r="C36" s="315"/>
      <c r="D36" s="315"/>
      <c r="E36" s="332"/>
      <c r="F36" s="332"/>
      <c r="G36" s="333"/>
      <c r="H36"/>
      <c r="I36"/>
    </row>
    <row r="37" spans="1:9" s="181" customFormat="1" ht="15.75">
      <c r="A37" s="313" t="s">
        <v>201</v>
      </c>
      <c r="B37" s="342" t="s">
        <v>919</v>
      </c>
      <c r="C37" s="319">
        <v>0.4</v>
      </c>
      <c r="D37" s="319">
        <v>0.5</v>
      </c>
      <c r="E37" s="319">
        <v>1.5</v>
      </c>
      <c r="F37" s="319">
        <v>2.5</v>
      </c>
      <c r="G37" s="319">
        <v>3.5</v>
      </c>
      <c r="H37"/>
      <c r="I37"/>
    </row>
    <row r="38" spans="1:9" s="181" customFormat="1" ht="15.75">
      <c r="A38" s="313" t="s">
        <v>308</v>
      </c>
      <c r="B38" s="314" t="s">
        <v>920</v>
      </c>
      <c r="C38" s="315">
        <v>10.2</v>
      </c>
      <c r="D38" s="315">
        <f>10.2*1.06</f>
        <v>10.812</v>
      </c>
      <c r="E38" s="315">
        <v>7</v>
      </c>
      <c r="F38" s="315">
        <v>10</v>
      </c>
      <c r="G38" s="315">
        <v>11</v>
      </c>
      <c r="H38"/>
      <c r="I38"/>
    </row>
    <row r="39" spans="1:9" s="181" customFormat="1" ht="15.75">
      <c r="A39" s="313"/>
      <c r="B39" s="314" t="s">
        <v>917</v>
      </c>
      <c r="C39" s="315"/>
      <c r="D39" s="315"/>
      <c r="E39" s="332"/>
      <c r="F39" s="332"/>
      <c r="G39" s="333"/>
      <c r="H39"/>
      <c r="I39"/>
    </row>
    <row r="40" spans="1:9" s="181" customFormat="1" ht="15.75">
      <c r="A40" s="335" t="s">
        <v>209</v>
      </c>
      <c r="B40" s="322" t="s">
        <v>921</v>
      </c>
      <c r="C40" s="323">
        <v>0.2</v>
      </c>
      <c r="D40" s="323">
        <v>0.2</v>
      </c>
      <c r="E40" s="323">
        <v>3</v>
      </c>
      <c r="F40" s="323">
        <v>4</v>
      </c>
      <c r="G40" s="323">
        <v>5</v>
      </c>
      <c r="H40"/>
      <c r="I40"/>
    </row>
    <row r="41" spans="1:9" s="181" customFormat="1" ht="15.75">
      <c r="A41" s="343" t="s">
        <v>922</v>
      </c>
      <c r="B41" s="344" t="s">
        <v>923</v>
      </c>
      <c r="C41" s="345">
        <f>C32+C33</f>
        <v>48.570000000000014</v>
      </c>
      <c r="D41" s="345">
        <f>D32+D33</f>
        <v>106.4553999999999</v>
      </c>
      <c r="E41" s="345">
        <f>E32+E33</f>
        <v>98.09913750847454</v>
      </c>
      <c r="F41" s="345">
        <f>F32+F33</f>
        <v>112.95199387025411</v>
      </c>
      <c r="G41" s="345">
        <f>G32+G33</f>
        <v>136.28487481117247</v>
      </c>
      <c r="H41"/>
      <c r="I41"/>
    </row>
    <row r="42" spans="1:9" s="181" customFormat="1" ht="15.75">
      <c r="A42" s="343" t="s">
        <v>924</v>
      </c>
      <c r="B42" s="344" t="s">
        <v>736</v>
      </c>
      <c r="C42" s="345">
        <f>C41*0.2</f>
        <v>9.714000000000004</v>
      </c>
      <c r="D42" s="345">
        <f>D41*0.2</f>
        <v>21.29107999999998</v>
      </c>
      <c r="E42" s="345">
        <f>E41*0.2</f>
        <v>19.61982750169491</v>
      </c>
      <c r="F42" s="345">
        <f>F41*0.2</f>
        <v>22.590398774050826</v>
      </c>
      <c r="G42" s="345">
        <f>G41*0.2</f>
        <v>27.256974962234494</v>
      </c>
      <c r="H42"/>
      <c r="I42"/>
    </row>
    <row r="43" spans="1:9" s="181" customFormat="1" ht="15.75">
      <c r="A43" s="343" t="s">
        <v>925</v>
      </c>
      <c r="B43" s="344" t="s">
        <v>926</v>
      </c>
      <c r="C43" s="345">
        <f>C41-C42</f>
        <v>38.85600000000001</v>
      </c>
      <c r="D43" s="345">
        <f>D41-D42</f>
        <v>85.16431999999992</v>
      </c>
      <c r="E43" s="345">
        <f>E41-E42</f>
        <v>78.47931000677963</v>
      </c>
      <c r="F43" s="345">
        <f>F41-F42</f>
        <v>90.36159509620329</v>
      </c>
      <c r="G43" s="345">
        <f>G41-G42</f>
        <v>109.02789984893798</v>
      </c>
      <c r="H43"/>
      <c r="I43"/>
    </row>
    <row r="44" spans="1:9" s="181" customFormat="1" ht="15.75">
      <c r="A44" s="310" t="s">
        <v>927</v>
      </c>
      <c r="B44" s="311" t="s">
        <v>928</v>
      </c>
      <c r="C44" s="312">
        <f>SUM(C46:C49)</f>
        <v>21.04</v>
      </c>
      <c r="D44" s="312">
        <f>SUM(D46:D49)</f>
        <v>23.37</v>
      </c>
      <c r="E44" s="312">
        <f>SUM(E46:E49)</f>
        <v>30</v>
      </c>
      <c r="F44" s="312">
        <f>SUM(F46:F49)</f>
        <v>41</v>
      </c>
      <c r="G44" s="312">
        <f>SUM(G46:G49)</f>
        <v>48</v>
      </c>
      <c r="H44"/>
      <c r="I44"/>
    </row>
    <row r="45" spans="1:9" s="181" customFormat="1" ht="15.75">
      <c r="A45" s="313"/>
      <c r="B45" s="314" t="s">
        <v>893</v>
      </c>
      <c r="C45" s="315"/>
      <c r="D45" s="316"/>
      <c r="E45" s="332"/>
      <c r="F45" s="332"/>
      <c r="G45" s="333"/>
      <c r="H45"/>
      <c r="I45"/>
    </row>
    <row r="46" spans="1:9" s="181" customFormat="1" ht="15.75">
      <c r="A46" s="313" t="s">
        <v>653</v>
      </c>
      <c r="B46" s="314" t="s">
        <v>929</v>
      </c>
      <c r="C46" s="315"/>
      <c r="D46" s="316"/>
      <c r="E46" s="332"/>
      <c r="F46" s="332"/>
      <c r="G46" s="333"/>
      <c r="H46"/>
      <c r="I46"/>
    </row>
    <row r="47" spans="1:9" s="181" customFormat="1" ht="15.75">
      <c r="A47" s="346" t="s">
        <v>308</v>
      </c>
      <c r="B47" s="314" t="s">
        <v>930</v>
      </c>
      <c r="C47" s="315">
        <v>3</v>
      </c>
      <c r="D47" s="315">
        <v>4</v>
      </c>
      <c r="E47" s="315">
        <v>4</v>
      </c>
      <c r="F47" s="315">
        <v>5</v>
      </c>
      <c r="G47" s="315">
        <v>6</v>
      </c>
      <c r="H47"/>
      <c r="I47"/>
    </row>
    <row r="48" spans="1:9" s="181" customFormat="1" ht="15.75">
      <c r="A48" s="313" t="s">
        <v>904</v>
      </c>
      <c r="B48" s="314" t="s">
        <v>931</v>
      </c>
      <c r="C48" s="315">
        <v>3.54</v>
      </c>
      <c r="D48" s="315">
        <v>4</v>
      </c>
      <c r="E48" s="315">
        <v>5</v>
      </c>
      <c r="F48" s="315">
        <v>6</v>
      </c>
      <c r="G48" s="315">
        <v>7</v>
      </c>
      <c r="H48"/>
      <c r="I48"/>
    </row>
    <row r="49" spans="1:9" s="181" customFormat="1" ht="15.75">
      <c r="A49" s="335" t="s">
        <v>906</v>
      </c>
      <c r="B49" s="322" t="s">
        <v>932</v>
      </c>
      <c r="C49" s="323">
        <v>14.5</v>
      </c>
      <c r="D49" s="323">
        <f>C49*1.06</f>
        <v>15.370000000000001</v>
      </c>
      <c r="E49" s="323">
        <v>21</v>
      </c>
      <c r="F49" s="323">
        <v>30</v>
      </c>
      <c r="G49" s="323">
        <v>35</v>
      </c>
      <c r="H49"/>
      <c r="I49"/>
    </row>
    <row r="50" spans="1:9" s="181" customFormat="1" ht="15.75">
      <c r="A50" s="310" t="s">
        <v>933</v>
      </c>
      <c r="B50" s="311" t="s">
        <v>934</v>
      </c>
      <c r="C50" s="312"/>
      <c r="D50" s="347"/>
      <c r="E50" s="348"/>
      <c r="F50" s="348"/>
      <c r="G50" s="349"/>
      <c r="H50"/>
      <c r="I50"/>
    </row>
    <row r="51" spans="1:9" s="181" customFormat="1" ht="15.75">
      <c r="A51" s="313" t="s">
        <v>653</v>
      </c>
      <c r="B51" s="350" t="s">
        <v>935</v>
      </c>
      <c r="C51" s="351"/>
      <c r="D51" s="352"/>
      <c r="E51" s="332"/>
      <c r="F51" s="332"/>
      <c r="G51" s="333"/>
      <c r="H51"/>
      <c r="I51"/>
    </row>
    <row r="52" spans="1:9" s="181" customFormat="1" ht="15.75">
      <c r="A52" s="313" t="s">
        <v>308</v>
      </c>
      <c r="B52" s="314" t="s">
        <v>936</v>
      </c>
      <c r="C52" s="315">
        <v>5</v>
      </c>
      <c r="D52" s="315">
        <v>2</v>
      </c>
      <c r="E52" s="332"/>
      <c r="F52" s="332"/>
      <c r="G52" s="333">
        <v>2</v>
      </c>
      <c r="H52"/>
      <c r="I52"/>
    </row>
    <row r="53" spans="1:9" s="181" customFormat="1" ht="15.75">
      <c r="A53" s="335"/>
      <c r="B53" s="322" t="s">
        <v>937</v>
      </c>
      <c r="C53" s="323"/>
      <c r="D53" s="336"/>
      <c r="E53" s="337"/>
      <c r="F53" s="337"/>
      <c r="G53" s="338"/>
      <c r="H53"/>
      <c r="I53"/>
    </row>
    <row r="54" spans="1:9" s="181" customFormat="1" ht="15.75">
      <c r="A54" s="310" t="s">
        <v>938</v>
      </c>
      <c r="B54" s="311" t="s">
        <v>939</v>
      </c>
      <c r="C54" s="312"/>
      <c r="D54" s="347"/>
      <c r="E54" s="348"/>
      <c r="F54" s="348"/>
      <c r="G54" s="349"/>
      <c r="H54"/>
      <c r="I54"/>
    </row>
    <row r="55" spans="1:9" s="181" customFormat="1" ht="15.75">
      <c r="A55" s="313" t="s">
        <v>653</v>
      </c>
      <c r="B55" s="350" t="s">
        <v>940</v>
      </c>
      <c r="C55" s="351">
        <v>7</v>
      </c>
      <c r="D55" s="351">
        <v>1</v>
      </c>
      <c r="E55" s="332"/>
      <c r="F55" s="332"/>
      <c r="G55" s="333"/>
      <c r="H55"/>
      <c r="I55"/>
    </row>
    <row r="56" spans="1:9" s="181" customFormat="1" ht="15.75">
      <c r="A56" s="313" t="s">
        <v>308</v>
      </c>
      <c r="B56" s="314" t="s">
        <v>941</v>
      </c>
      <c r="C56" s="315"/>
      <c r="D56" s="316"/>
      <c r="E56" s="332">
        <v>5</v>
      </c>
      <c r="F56" s="332"/>
      <c r="G56" s="333"/>
      <c r="H56"/>
      <c r="I56"/>
    </row>
    <row r="57" spans="1:9" s="181" customFormat="1" ht="15.75">
      <c r="A57" s="335"/>
      <c r="B57" s="322" t="s">
        <v>937</v>
      </c>
      <c r="C57" s="323"/>
      <c r="D57" s="336"/>
      <c r="E57" s="337"/>
      <c r="F57" s="337"/>
      <c r="G57" s="338"/>
      <c r="H57"/>
      <c r="I57"/>
    </row>
    <row r="58" spans="1:9" s="181" customFormat="1" ht="15.75">
      <c r="A58" s="310" t="s">
        <v>942</v>
      </c>
      <c r="B58" s="311" t="s">
        <v>943</v>
      </c>
      <c r="C58" s="312">
        <f>SUM(C60+C62)</f>
        <v>0</v>
      </c>
      <c r="D58" s="312">
        <f>SUM(D60+D62)</f>
        <v>0</v>
      </c>
      <c r="E58" s="312">
        <f>SUM(E60+E62)</f>
        <v>0</v>
      </c>
      <c r="F58" s="312">
        <f>SUM(F60+F62)</f>
        <v>0</v>
      </c>
      <c r="G58" s="312">
        <f>SUM(G60+G62)</f>
        <v>0</v>
      </c>
      <c r="H58"/>
      <c r="I58"/>
    </row>
    <row r="59" spans="1:9" s="181" customFormat="1" ht="15.75">
      <c r="A59" s="329"/>
      <c r="B59" s="314" t="s">
        <v>944</v>
      </c>
      <c r="C59" s="315"/>
      <c r="D59" s="316"/>
      <c r="E59" s="332"/>
      <c r="F59" s="332"/>
      <c r="G59" s="333"/>
      <c r="H59"/>
      <c r="I59"/>
    </row>
    <row r="60" spans="1:9" s="181" customFormat="1" ht="15.75">
      <c r="A60" s="313" t="s">
        <v>653</v>
      </c>
      <c r="B60" s="314" t="s">
        <v>945</v>
      </c>
      <c r="C60" s="315"/>
      <c r="D60" s="315"/>
      <c r="E60" s="319"/>
      <c r="F60" s="319"/>
      <c r="G60" s="320"/>
      <c r="H60"/>
      <c r="I60"/>
    </row>
    <row r="61" spans="1:9" s="181" customFormat="1" ht="15.75">
      <c r="A61" s="313" t="s">
        <v>199</v>
      </c>
      <c r="B61" s="314" t="s">
        <v>946</v>
      </c>
      <c r="C61" s="315"/>
      <c r="D61" s="316"/>
      <c r="E61" s="317"/>
      <c r="F61" s="317"/>
      <c r="G61" s="318"/>
      <c r="H61"/>
      <c r="I61"/>
    </row>
    <row r="62" spans="1:9" s="181" customFormat="1" ht="15.75">
      <c r="A62" s="335" t="s">
        <v>308</v>
      </c>
      <c r="B62" s="322" t="s">
        <v>947</v>
      </c>
      <c r="C62" s="323"/>
      <c r="D62" s="336"/>
      <c r="E62" s="353"/>
      <c r="F62" s="353"/>
      <c r="G62" s="354"/>
      <c r="H62"/>
      <c r="I62"/>
    </row>
    <row r="63" spans="1:9" s="181" customFormat="1" ht="15.75">
      <c r="A63" s="310" t="s">
        <v>948</v>
      </c>
      <c r="B63" s="311" t="s">
        <v>949</v>
      </c>
      <c r="C63" s="312"/>
      <c r="D63" s="347"/>
      <c r="E63" s="355"/>
      <c r="F63" s="355"/>
      <c r="G63" s="356"/>
      <c r="H63"/>
      <c r="I63"/>
    </row>
    <row r="64" spans="1:9" s="181" customFormat="1" ht="15.75">
      <c r="A64" s="329"/>
      <c r="B64" s="314" t="s">
        <v>950</v>
      </c>
      <c r="C64" s="315"/>
      <c r="D64" s="316"/>
      <c r="E64" s="332"/>
      <c r="F64" s="332"/>
      <c r="G64" s="333"/>
      <c r="H64"/>
      <c r="I64"/>
    </row>
    <row r="65" spans="1:9" s="181" customFormat="1" ht="15.75">
      <c r="A65" s="313" t="s">
        <v>653</v>
      </c>
      <c r="B65" s="314" t="s">
        <v>951</v>
      </c>
      <c r="C65" s="315"/>
      <c r="D65" s="316"/>
      <c r="E65" s="317"/>
      <c r="F65" s="317"/>
      <c r="G65" s="318"/>
      <c r="H65"/>
      <c r="I65"/>
    </row>
    <row r="66" spans="1:9" s="181" customFormat="1" ht="15.75">
      <c r="A66" s="313" t="s">
        <v>199</v>
      </c>
      <c r="B66" s="314" t="s">
        <v>946</v>
      </c>
      <c r="C66" s="315"/>
      <c r="D66" s="316"/>
      <c r="E66" s="317"/>
      <c r="F66" s="317"/>
      <c r="G66" s="318"/>
      <c r="H66"/>
      <c r="I66"/>
    </row>
    <row r="67" spans="1:9" s="181" customFormat="1" ht="15.75">
      <c r="A67" s="335" t="s">
        <v>308</v>
      </c>
      <c r="B67" s="322" t="s">
        <v>947</v>
      </c>
      <c r="C67" s="323"/>
      <c r="D67" s="336"/>
      <c r="E67" s="353"/>
      <c r="F67" s="353"/>
      <c r="G67" s="354"/>
      <c r="H67"/>
      <c r="I67"/>
    </row>
    <row r="68" spans="1:9" s="181" customFormat="1" ht="15.75">
      <c r="A68" s="357" t="s">
        <v>952</v>
      </c>
      <c r="B68" s="358" t="s">
        <v>953</v>
      </c>
      <c r="C68" s="359"/>
      <c r="D68" s="360"/>
      <c r="E68" s="361"/>
      <c r="F68" s="361"/>
      <c r="G68" s="362"/>
      <c r="H68"/>
      <c r="I68"/>
    </row>
    <row r="69" spans="1:9" s="181" customFormat="1" ht="15.75">
      <c r="A69" s="310" t="s">
        <v>954</v>
      </c>
      <c r="B69" s="311" t="s">
        <v>955</v>
      </c>
      <c r="C69" s="312"/>
      <c r="D69" s="347"/>
      <c r="E69" s="348"/>
      <c r="F69" s="348"/>
      <c r="G69" s="349"/>
      <c r="H69"/>
      <c r="I69"/>
    </row>
    <row r="70" spans="1:9" s="181" customFormat="1" ht="15.75">
      <c r="A70" s="313" t="s">
        <v>653</v>
      </c>
      <c r="B70" s="314" t="s">
        <v>956</v>
      </c>
      <c r="C70" s="315"/>
      <c r="D70" s="316"/>
      <c r="E70" s="332"/>
      <c r="F70" s="332"/>
      <c r="G70" s="333"/>
      <c r="H70"/>
      <c r="I70"/>
    </row>
    <row r="71" spans="1:9" s="181" customFormat="1" ht="15.75">
      <c r="A71" s="335" t="s">
        <v>308</v>
      </c>
      <c r="B71" s="322" t="s">
        <v>957</v>
      </c>
      <c r="C71" s="323"/>
      <c r="D71" s="336"/>
      <c r="E71" s="337"/>
      <c r="F71" s="337"/>
      <c r="G71" s="338"/>
      <c r="H71"/>
      <c r="I71"/>
    </row>
    <row r="72" spans="1:9" s="181" customFormat="1" ht="15.75">
      <c r="A72" s="343" t="s">
        <v>958</v>
      </c>
      <c r="B72" s="344" t="s">
        <v>959</v>
      </c>
      <c r="C72" s="345"/>
      <c r="D72" s="363"/>
      <c r="E72" s="364"/>
      <c r="F72" s="364"/>
      <c r="G72" s="365"/>
      <c r="H72"/>
      <c r="I72"/>
    </row>
    <row r="73" spans="1:9" s="181" customFormat="1" ht="15.75">
      <c r="A73" s="326" t="s">
        <v>960</v>
      </c>
      <c r="B73" s="327" t="s">
        <v>961</v>
      </c>
      <c r="C73" s="328">
        <v>58.14</v>
      </c>
      <c r="D73" s="328">
        <v>101.073</v>
      </c>
      <c r="E73" s="366">
        <f>145.33/118*100</f>
        <v>123.16101694915255</v>
      </c>
      <c r="F73" s="366">
        <f>146.87/118*100</f>
        <v>124.46610169491525</v>
      </c>
      <c r="G73" s="366">
        <f>171.29/118*100</f>
        <v>145.16101694915253</v>
      </c>
      <c r="H73"/>
      <c r="I73"/>
    </row>
    <row r="74" spans="1:9" s="181" customFormat="1" ht="15.75">
      <c r="A74" s="367"/>
      <c r="B74" s="368" t="s">
        <v>946</v>
      </c>
      <c r="C74" s="369"/>
      <c r="D74" s="370"/>
      <c r="E74" s="371"/>
      <c r="F74" s="371"/>
      <c r="G74" s="372"/>
      <c r="H74"/>
      <c r="I74"/>
    </row>
    <row r="75" spans="1:9" s="181" customFormat="1" ht="47.25">
      <c r="A75" s="343" t="s">
        <v>960</v>
      </c>
      <c r="B75" s="373" t="s">
        <v>962</v>
      </c>
      <c r="C75" s="331">
        <f>C13+C34+C52+C55+C58+C71+C72</f>
        <v>494.91</v>
      </c>
      <c r="D75" s="331">
        <f>D13+D34+D52+D55+D58+D71+D72</f>
        <v>570.2474</v>
      </c>
      <c r="E75" s="374">
        <f>E13+E34+E52+E55+E58+E71+E72</f>
        <v>643.0760925084745</v>
      </c>
      <c r="F75" s="375">
        <f>F13+F34+F52+F55+F58+F71+F72</f>
        <v>700.3897204952542</v>
      </c>
      <c r="G75" s="375">
        <f>G13+G34+G52+G55+G58+G71+G72</f>
        <v>764.6429309330474</v>
      </c>
      <c r="H75"/>
      <c r="I75"/>
    </row>
    <row r="76" spans="1:9" s="181" customFormat="1" ht="47.25">
      <c r="A76" s="310" t="s">
        <v>963</v>
      </c>
      <c r="B76" s="376" t="s">
        <v>964</v>
      </c>
      <c r="C76" s="331">
        <f>C18-C25+C38+C51+C56+C42+C44+C63+C70+C73</f>
        <v>487.094</v>
      </c>
      <c r="D76" s="331">
        <f>D18-D25+D38+D51+D56+D42+D44+D63+D70+D73</f>
        <v>567.82608</v>
      </c>
      <c r="E76" s="377">
        <f>E18-E25+E38+E51+E56+E42+E44+E63+E70+E73</f>
        <v>644.7577994508474</v>
      </c>
      <c r="F76" s="378">
        <f>F18-F25+F38+F51+F56+F42+F44+F63+F70+F73</f>
        <v>696.4942270939662</v>
      </c>
      <c r="G76" s="378">
        <f>G18-G25+G38+G51+G56+G42+G44+G63+G70+G73</f>
        <v>766.776048033262</v>
      </c>
      <c r="H76"/>
      <c r="I76"/>
    </row>
    <row r="77" spans="1:9" s="181" customFormat="1" ht="31.5">
      <c r="A77" s="379"/>
      <c r="B77" s="380" t="s">
        <v>965</v>
      </c>
      <c r="C77" s="341">
        <f>C75-C76</f>
        <v>7.816000000000031</v>
      </c>
      <c r="D77" s="341">
        <f>D75-D76</f>
        <v>2.4213199999999233</v>
      </c>
      <c r="E77" s="381">
        <f>E75-E76</f>
        <v>-1.681706942372898</v>
      </c>
      <c r="F77" s="381">
        <f>F75-F76</f>
        <v>3.895493401288036</v>
      </c>
      <c r="G77" s="381">
        <f>G75-G76</f>
        <v>-2.1331171002145766</v>
      </c>
      <c r="H77"/>
      <c r="I77"/>
    </row>
    <row r="78" spans="1:9" s="181" customFormat="1" ht="15.75">
      <c r="A78" s="382"/>
      <c r="B78" s="383"/>
      <c r="C78" s="384"/>
      <c r="D78" s="385"/>
      <c r="E78" s="386"/>
      <c r="F78" s="386"/>
      <c r="G78" s="387"/>
      <c r="H78"/>
      <c r="I78"/>
    </row>
    <row r="79" spans="1:9" s="181" customFormat="1" ht="15.75">
      <c r="A79" s="388"/>
      <c r="B79" s="311" t="s">
        <v>313</v>
      </c>
      <c r="C79" s="312"/>
      <c r="D79" s="347"/>
      <c r="E79" s="355"/>
      <c r="F79" s="355"/>
      <c r="G79" s="356"/>
      <c r="H79"/>
      <c r="I79"/>
    </row>
    <row r="80" spans="1:9" s="181" customFormat="1" ht="15.75">
      <c r="A80" s="313" t="s">
        <v>653</v>
      </c>
      <c r="B80" s="314" t="s">
        <v>768</v>
      </c>
      <c r="C80" s="315">
        <f>C32+C25</f>
        <v>87.19000000000001</v>
      </c>
      <c r="D80" s="315">
        <f>D32+D25</f>
        <v>147.78419999999988</v>
      </c>
      <c r="E80" s="315">
        <f>E32+E25</f>
        <v>176.09913750847454</v>
      </c>
      <c r="F80" s="315">
        <f>F32+F25</f>
        <v>193.9519938702541</v>
      </c>
      <c r="G80" s="315">
        <f>G32+G25</f>
        <v>217.78487481117247</v>
      </c>
      <c r="H80"/>
      <c r="I80"/>
    </row>
    <row r="81" spans="1:9" s="181" customFormat="1" ht="15.75">
      <c r="A81" s="313" t="s">
        <v>308</v>
      </c>
      <c r="B81" s="314" t="s">
        <v>966</v>
      </c>
      <c r="C81" s="315"/>
      <c r="D81" s="316"/>
      <c r="E81" s="389"/>
      <c r="F81" s="389"/>
      <c r="G81" s="390"/>
      <c r="H81"/>
      <c r="I81"/>
    </row>
    <row r="82" spans="1:9" s="181" customFormat="1" ht="15.75">
      <c r="A82" s="335" t="s">
        <v>904</v>
      </c>
      <c r="B82" s="322" t="s">
        <v>967</v>
      </c>
      <c r="C82" s="323"/>
      <c r="D82" s="336"/>
      <c r="E82" s="391"/>
      <c r="F82" s="391"/>
      <c r="G82" s="392"/>
      <c r="H82"/>
      <c r="I82"/>
    </row>
    <row r="83" spans="1:9" s="181" customFormat="1" ht="15.75">
      <c r="A83" s="1"/>
      <c r="B83" s="1"/>
      <c r="C83" s="1"/>
      <c r="D83" s="1"/>
      <c r="E83" s="1"/>
      <c r="F83" s="1"/>
      <c r="G83" s="1"/>
      <c r="H83"/>
      <c r="I83"/>
    </row>
    <row r="84" spans="1:9" s="181" customFormat="1" ht="15.75">
      <c r="A84" s="1" t="s">
        <v>968</v>
      </c>
      <c r="B84" s="1"/>
      <c r="C84" s="1"/>
      <c r="D84" s="1"/>
      <c r="E84" s="1"/>
      <c r="F84" s="1"/>
      <c r="G84" s="1"/>
      <c r="H84"/>
      <c r="I84"/>
    </row>
    <row r="85" spans="1:9" s="181" customFormat="1" ht="15.75">
      <c r="A85" s="1"/>
      <c r="B85" s="1"/>
      <c r="C85" s="1"/>
      <c r="D85" s="1"/>
      <c r="E85" s="1"/>
      <c r="F85" s="1"/>
      <c r="G85" s="1"/>
      <c r="H85"/>
      <c r="I85"/>
    </row>
  </sheetData>
  <sheetProtection selectLockedCells="1" selectUnlockedCells="1"/>
  <mergeCells count="8">
    <mergeCell ref="A1:G1"/>
    <mergeCell ref="A9:A11"/>
    <mergeCell ref="B9:B11"/>
    <mergeCell ref="C10:C11"/>
    <mergeCell ref="D10:D11"/>
    <mergeCell ref="E10:E11"/>
    <mergeCell ref="F10:F11"/>
    <mergeCell ref="G10:G11"/>
  </mergeCells>
  <printOptions/>
  <pageMargins left="0.9763888888888889" right="0.425" top="0.39791666666666664" bottom="0.39791666666666664" header="0.5118055555555555" footer="0.5118055555555555"/>
  <pageSetup fitToHeight="0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="75" zoomScaleNormal="75" zoomScaleSheetLayoutView="80" zoomScalePageLayoutView="0" workbookViewId="0" topLeftCell="A1">
      <selection activeCell="O11" sqref="O11"/>
    </sheetView>
  </sheetViews>
  <sheetFormatPr defaultColWidth="8.796875" defaultRowHeight="15"/>
  <cols>
    <col min="2" max="2" width="44" style="1" customWidth="1"/>
    <col min="5" max="8" width="0" style="1" hidden="1" customWidth="1"/>
  </cols>
  <sheetData>
    <row r="1" spans="1:8" s="393" customFormat="1" ht="30" customHeight="1">
      <c r="A1" s="712" t="s">
        <v>969</v>
      </c>
      <c r="B1" s="712"/>
      <c r="C1" s="712"/>
      <c r="D1" s="712"/>
      <c r="E1" s="712"/>
      <c r="F1" s="712"/>
      <c r="G1" s="712"/>
      <c r="H1" s="712"/>
    </row>
    <row r="2" spans="1:8" s="393" customFormat="1" ht="30" customHeight="1">
      <c r="A2" s="394"/>
      <c r="B2" s="112"/>
      <c r="C2" s="394"/>
      <c r="D2" s="112" t="s">
        <v>256</v>
      </c>
      <c r="E2" s="394"/>
      <c r="F2" s="394"/>
      <c r="G2" s="1"/>
      <c r="H2" s="112"/>
    </row>
    <row r="3" spans="2:8" ht="15.75">
      <c r="B3" s="112"/>
      <c r="D3" s="112" t="s">
        <v>885</v>
      </c>
      <c r="H3" s="112"/>
    </row>
    <row r="4" spans="2:8" ht="15.75">
      <c r="B4" s="112"/>
      <c r="D4" s="112" t="s">
        <v>970</v>
      </c>
      <c r="H4" s="112"/>
    </row>
    <row r="5" spans="2:8" ht="15.75">
      <c r="B5" s="112"/>
      <c r="D5" s="1" t="s">
        <v>971</v>
      </c>
      <c r="H5" s="112"/>
    </row>
    <row r="6" spans="2:8" ht="31.5">
      <c r="B6" s="115"/>
      <c r="C6" s="1" t="s">
        <v>972</v>
      </c>
      <c r="D6" s="115" t="s">
        <v>259</v>
      </c>
      <c r="H6" s="115"/>
    </row>
    <row r="7" spans="2:8" ht="15.75">
      <c r="B7" s="112"/>
      <c r="D7" s="112" t="s">
        <v>887</v>
      </c>
      <c r="H7" s="112"/>
    </row>
    <row r="8" spans="2:8" ht="15.75">
      <c r="B8" s="112"/>
      <c r="D8" s="112" t="s">
        <v>261</v>
      </c>
      <c r="H8" s="112"/>
    </row>
    <row r="9" spans="1:8" ht="15.75">
      <c r="A9" s="113"/>
      <c r="B9" s="112"/>
      <c r="D9" s="395" t="s">
        <v>888</v>
      </c>
      <c r="H9" s="112"/>
    </row>
    <row r="10" spans="1:8" ht="48" customHeight="1">
      <c r="A10" s="396" t="s">
        <v>262</v>
      </c>
      <c r="B10" s="397" t="s">
        <v>973</v>
      </c>
      <c r="C10" s="116" t="s">
        <v>974</v>
      </c>
      <c r="D10" s="117" t="s">
        <v>975</v>
      </c>
      <c r="E10" s="398" t="s">
        <v>976</v>
      </c>
      <c r="F10" s="398" t="s">
        <v>977</v>
      </c>
      <c r="G10" s="398" t="s">
        <v>978</v>
      </c>
      <c r="H10" s="396" t="s">
        <v>274</v>
      </c>
    </row>
    <row r="11" spans="1:8" ht="15.75">
      <c r="A11" s="399">
        <v>1</v>
      </c>
      <c r="B11" s="400" t="s">
        <v>979</v>
      </c>
      <c r="C11" s="129">
        <v>58.15</v>
      </c>
      <c r="D11" s="33">
        <v>101.07</v>
      </c>
      <c r="E11" s="33">
        <v>123.16</v>
      </c>
      <c r="F11" s="33">
        <v>124.47</v>
      </c>
      <c r="G11" s="126">
        <v>145.16</v>
      </c>
      <c r="H11" s="399">
        <f>SUM(C11:G11)</f>
        <v>552.01</v>
      </c>
    </row>
    <row r="12" spans="1:8" ht="15.75">
      <c r="A12" s="401" t="s">
        <v>199</v>
      </c>
      <c r="B12" s="400" t="s">
        <v>980</v>
      </c>
      <c r="C12" s="402">
        <v>22</v>
      </c>
      <c r="D12" s="64">
        <f>D11-D19</f>
        <v>62.36999999999999</v>
      </c>
      <c r="E12" s="60"/>
      <c r="F12" s="60"/>
      <c r="G12" s="403"/>
      <c r="H12" s="399">
        <f>SUM(C12:G12)</f>
        <v>84.36999999999999</v>
      </c>
    </row>
    <row r="13" spans="1:8" ht="15.75">
      <c r="A13" s="401" t="s">
        <v>282</v>
      </c>
      <c r="B13" s="400" t="s">
        <v>981</v>
      </c>
      <c r="C13" s="402">
        <v>22</v>
      </c>
      <c r="D13" s="64">
        <f>D11-D20</f>
        <v>62.36999999999999</v>
      </c>
      <c r="E13" s="404">
        <f>E11-E15-E20</f>
        <v>26.769999999999996</v>
      </c>
      <c r="F13" s="404">
        <f>F11-F15-F20</f>
        <v>25.870000000000005</v>
      </c>
      <c r="G13" s="404">
        <f>G11-G15-G20</f>
        <v>44.81999999999999</v>
      </c>
      <c r="H13" s="399">
        <f>SUM(C13:G13)</f>
        <v>181.82999999999998</v>
      </c>
    </row>
    <row r="14" spans="1:8" ht="15.75">
      <c r="A14" s="401" t="s">
        <v>284</v>
      </c>
      <c r="B14" s="400" t="s">
        <v>982</v>
      </c>
      <c r="C14" s="402"/>
      <c r="D14" s="64"/>
      <c r="E14" s="60"/>
      <c r="F14" s="60"/>
      <c r="G14" s="403"/>
      <c r="H14" s="399"/>
    </row>
    <row r="15" spans="1:8" ht="31.5">
      <c r="A15" s="401" t="s">
        <v>286</v>
      </c>
      <c r="B15" s="400" t="s">
        <v>983</v>
      </c>
      <c r="C15" s="402"/>
      <c r="D15" s="64"/>
      <c r="E15" s="60">
        <v>18.39</v>
      </c>
      <c r="F15" s="60">
        <v>19.6</v>
      </c>
      <c r="G15" s="403">
        <v>20.34</v>
      </c>
      <c r="H15" s="399">
        <f>SUM(C15:G15)</f>
        <v>58.33</v>
      </c>
    </row>
    <row r="16" spans="1:8" ht="31.5">
      <c r="A16" s="401" t="s">
        <v>984</v>
      </c>
      <c r="B16" s="400" t="s">
        <v>985</v>
      </c>
      <c r="C16" s="402"/>
      <c r="D16" s="64"/>
      <c r="E16" s="60"/>
      <c r="F16" s="60"/>
      <c r="G16" s="403"/>
      <c r="H16" s="399"/>
    </row>
    <row r="17" spans="1:8" ht="31.5">
      <c r="A17" s="401" t="s">
        <v>986</v>
      </c>
      <c r="B17" s="400" t="s">
        <v>987</v>
      </c>
      <c r="C17" s="402"/>
      <c r="D17" s="64"/>
      <c r="E17" s="60">
        <v>18.39</v>
      </c>
      <c r="F17" s="60">
        <v>19.6</v>
      </c>
      <c r="G17" s="403">
        <v>20.34</v>
      </c>
      <c r="H17" s="399">
        <f>SUM(C17:G17)</f>
        <v>58.33</v>
      </c>
    </row>
    <row r="18" spans="1:8" ht="15.75">
      <c r="A18" s="401" t="s">
        <v>288</v>
      </c>
      <c r="B18" s="400" t="s">
        <v>988</v>
      </c>
      <c r="C18" s="402"/>
      <c r="D18" s="64"/>
      <c r="E18" s="60"/>
      <c r="F18" s="60"/>
      <c r="G18" s="403"/>
      <c r="H18" s="399"/>
    </row>
    <row r="19" spans="1:8" ht="15.75">
      <c r="A19" s="401" t="s">
        <v>201</v>
      </c>
      <c r="B19" s="400" t="s">
        <v>769</v>
      </c>
      <c r="C19" s="402">
        <v>36.15</v>
      </c>
      <c r="D19" s="64">
        <v>38.7</v>
      </c>
      <c r="E19" s="60">
        <v>78</v>
      </c>
      <c r="F19" s="60">
        <v>79</v>
      </c>
      <c r="G19" s="403">
        <v>80</v>
      </c>
      <c r="H19" s="399">
        <f>SUM(C19:G19)</f>
        <v>311.85</v>
      </c>
    </row>
    <row r="20" spans="1:8" ht="15.75">
      <c r="A20" s="401" t="s">
        <v>989</v>
      </c>
      <c r="B20" s="400" t="s">
        <v>990</v>
      </c>
      <c r="C20" s="402">
        <v>36.15</v>
      </c>
      <c r="D20" s="64">
        <v>38.7</v>
      </c>
      <c r="E20" s="60">
        <v>78</v>
      </c>
      <c r="F20" s="60">
        <v>79</v>
      </c>
      <c r="G20" s="403">
        <v>80</v>
      </c>
      <c r="H20" s="399">
        <f>SUM(C20:G20)</f>
        <v>311.85</v>
      </c>
    </row>
    <row r="21" spans="1:8" ht="15.75">
      <c r="A21" s="401" t="s">
        <v>991</v>
      </c>
      <c r="B21" s="400" t="s">
        <v>992</v>
      </c>
      <c r="C21" s="402"/>
      <c r="D21" s="64"/>
      <c r="E21" s="60"/>
      <c r="F21" s="60"/>
      <c r="G21" s="403"/>
      <c r="H21" s="405"/>
    </row>
    <row r="22" spans="1:8" ht="15.75">
      <c r="A22" s="401" t="s">
        <v>993</v>
      </c>
      <c r="B22" s="400" t="s">
        <v>994</v>
      </c>
      <c r="C22" s="402"/>
      <c r="D22" s="64"/>
      <c r="E22" s="60"/>
      <c r="F22" s="60"/>
      <c r="G22" s="403"/>
      <c r="H22" s="405"/>
    </row>
    <row r="23" spans="1:8" ht="15.75">
      <c r="A23" s="401" t="s">
        <v>204</v>
      </c>
      <c r="B23" s="400" t="s">
        <v>995</v>
      </c>
      <c r="C23" s="402"/>
      <c r="D23" s="64"/>
      <c r="E23" s="60"/>
      <c r="F23" s="60"/>
      <c r="G23" s="403"/>
      <c r="H23" s="405"/>
    </row>
    <row r="24" spans="1:8" ht="15.75">
      <c r="A24" s="401" t="s">
        <v>206</v>
      </c>
      <c r="B24" s="400" t="s">
        <v>996</v>
      </c>
      <c r="C24" s="402"/>
      <c r="D24" s="64"/>
      <c r="E24" s="60"/>
      <c r="F24" s="60"/>
      <c r="G24" s="403"/>
      <c r="H24" s="405"/>
    </row>
    <row r="25" spans="1:8" ht="15.75">
      <c r="A25" s="401" t="s">
        <v>997</v>
      </c>
      <c r="B25" s="400" t="s">
        <v>998</v>
      </c>
      <c r="C25" s="402"/>
      <c r="D25" s="64"/>
      <c r="E25" s="60"/>
      <c r="F25" s="60"/>
      <c r="G25" s="403"/>
      <c r="H25" s="405"/>
    </row>
    <row r="26" spans="1:8" ht="15.75">
      <c r="A26" s="401" t="s">
        <v>860</v>
      </c>
      <c r="B26" s="400" t="s">
        <v>999</v>
      </c>
      <c r="C26" s="402"/>
      <c r="D26" s="64"/>
      <c r="E26" s="60"/>
      <c r="F26" s="60"/>
      <c r="G26" s="403"/>
      <c r="H26" s="405"/>
    </row>
    <row r="27" spans="1:8" ht="15.75">
      <c r="A27" s="401" t="s">
        <v>308</v>
      </c>
      <c r="B27" s="400" t="s">
        <v>1000</v>
      </c>
      <c r="C27" s="402"/>
      <c r="D27" s="64"/>
      <c r="E27" s="60"/>
      <c r="F27" s="60"/>
      <c r="G27" s="403"/>
      <c r="H27" s="405"/>
    </row>
    <row r="28" spans="1:8" ht="15.75">
      <c r="A28" s="401" t="s">
        <v>209</v>
      </c>
      <c r="B28" s="400" t="s">
        <v>1001</v>
      </c>
      <c r="C28" s="402"/>
      <c r="D28" s="64"/>
      <c r="E28" s="60"/>
      <c r="F28" s="60"/>
      <c r="G28" s="403"/>
      <c r="H28" s="405"/>
    </row>
    <row r="29" spans="1:8" ht="15.75">
      <c r="A29" s="401" t="s">
        <v>211</v>
      </c>
      <c r="B29" s="400" t="s">
        <v>1002</v>
      </c>
      <c r="C29" s="402"/>
      <c r="D29" s="64"/>
      <c r="E29" s="60"/>
      <c r="F29" s="60"/>
      <c r="G29" s="403"/>
      <c r="H29" s="405"/>
    </row>
    <row r="30" spans="1:8" ht="15.75">
      <c r="A30" s="406" t="s">
        <v>213</v>
      </c>
      <c r="B30" s="400" t="s">
        <v>1003</v>
      </c>
      <c r="C30" s="402"/>
      <c r="D30" s="64"/>
      <c r="E30" s="60"/>
      <c r="F30" s="60"/>
      <c r="G30" s="403"/>
      <c r="H30" s="405"/>
    </row>
    <row r="31" spans="1:8" ht="15.75">
      <c r="A31" s="406" t="s">
        <v>812</v>
      </c>
      <c r="B31" s="400" t="s">
        <v>1004</v>
      </c>
      <c r="C31" s="402"/>
      <c r="D31" s="64"/>
      <c r="E31" s="60"/>
      <c r="F31" s="60"/>
      <c r="G31" s="403"/>
      <c r="H31" s="405"/>
    </row>
    <row r="32" spans="1:8" ht="15.75">
      <c r="A32" s="401" t="s">
        <v>814</v>
      </c>
      <c r="B32" s="400" t="s">
        <v>1005</v>
      </c>
      <c r="C32" s="402"/>
      <c r="D32" s="64"/>
      <c r="E32" s="60"/>
      <c r="F32" s="60"/>
      <c r="G32" s="403"/>
      <c r="H32" s="405"/>
    </row>
    <row r="33" spans="1:8" ht="15.75">
      <c r="A33" s="407" t="s">
        <v>816</v>
      </c>
      <c r="B33" s="408" t="s">
        <v>1006</v>
      </c>
      <c r="C33" s="409"/>
      <c r="D33" s="410"/>
      <c r="E33" s="411"/>
      <c r="F33" s="411"/>
      <c r="G33" s="412"/>
      <c r="H33" s="413"/>
    </row>
    <row r="34" spans="1:8" ht="15.75">
      <c r="A34" s="407" t="s">
        <v>1007</v>
      </c>
      <c r="B34" s="408" t="s">
        <v>1008</v>
      </c>
      <c r="C34" s="409"/>
      <c r="D34" s="410"/>
      <c r="E34" s="411"/>
      <c r="F34" s="411"/>
      <c r="G34" s="412"/>
      <c r="H34" s="413"/>
    </row>
    <row r="35" spans="1:8" ht="16.5" customHeight="1">
      <c r="A35" s="414"/>
      <c r="B35" s="415" t="s">
        <v>1009</v>
      </c>
      <c r="C35" s="416">
        <f aca="true" t="shared" si="0" ref="C35:H35">C11</f>
        <v>58.15</v>
      </c>
      <c r="D35" s="416">
        <f t="shared" si="0"/>
        <v>101.07</v>
      </c>
      <c r="E35" s="417">
        <f t="shared" si="0"/>
        <v>123.16</v>
      </c>
      <c r="F35" s="417">
        <f t="shared" si="0"/>
        <v>124.47</v>
      </c>
      <c r="G35" s="417">
        <f t="shared" si="0"/>
        <v>145.16</v>
      </c>
      <c r="H35" s="417">
        <f t="shared" si="0"/>
        <v>552.01</v>
      </c>
    </row>
    <row r="36" spans="1:8" ht="16.5" customHeight="1">
      <c r="A36" s="251"/>
      <c r="B36" s="39" t="s">
        <v>1010</v>
      </c>
      <c r="C36" s="418"/>
      <c r="D36" s="60"/>
      <c r="E36" s="60"/>
      <c r="F36" s="60"/>
      <c r="G36" s="60"/>
      <c r="H36" s="275"/>
    </row>
    <row r="37" spans="1:8" ht="16.5" customHeight="1">
      <c r="A37" s="251"/>
      <c r="B37" s="419" t="s">
        <v>1011</v>
      </c>
      <c r="C37" s="418"/>
      <c r="D37" s="60"/>
      <c r="E37" s="60"/>
      <c r="F37" s="60"/>
      <c r="G37" s="60"/>
      <c r="H37" s="275"/>
    </row>
    <row r="38" spans="1:8" ht="16.5" customHeight="1">
      <c r="A38" s="420"/>
      <c r="B38" s="421" t="s">
        <v>1012</v>
      </c>
      <c r="C38" s="422"/>
      <c r="D38" s="423"/>
      <c r="E38" s="423"/>
      <c r="F38" s="423"/>
      <c r="G38" s="423"/>
      <c r="H38" s="278"/>
    </row>
    <row r="39" spans="1:8" ht="15.75">
      <c r="A39" s="56"/>
      <c r="B39" s="56"/>
      <c r="C39" s="56"/>
      <c r="D39" s="56"/>
      <c r="E39" s="56"/>
      <c r="F39" s="56"/>
      <c r="G39" s="56"/>
      <c r="H39" s="56"/>
    </row>
    <row r="40" spans="1:8" ht="30" customHeight="1">
      <c r="A40" s="1" t="s">
        <v>1013</v>
      </c>
      <c r="B40" s="56"/>
      <c r="C40" s="56"/>
      <c r="D40" s="56"/>
      <c r="E40" s="56"/>
      <c r="F40" s="56"/>
      <c r="G40" s="56"/>
      <c r="H40" s="56"/>
    </row>
    <row r="41" spans="1:2" ht="30" customHeight="1">
      <c r="A41" s="50"/>
      <c r="B41" s="48"/>
    </row>
    <row r="42" spans="1:2" ht="15.75">
      <c r="A42" s="50"/>
      <c r="B42" s="48"/>
    </row>
    <row r="43" ht="15.75">
      <c r="A43" s="50"/>
    </row>
    <row r="44" ht="15.75">
      <c r="A44" s="50"/>
    </row>
    <row r="45" spans="1:6" ht="15.75">
      <c r="A45" s="47"/>
      <c r="B45" s="47"/>
      <c r="C45" s="47"/>
      <c r="D45" s="47"/>
      <c r="E45" s="47"/>
      <c r="F45" s="47"/>
    </row>
    <row r="46" ht="15.75">
      <c r="A46" s="50"/>
    </row>
    <row r="47" spans="1:6" ht="15.75">
      <c r="A47" s="52"/>
      <c r="C47" s="147"/>
      <c r="D47" s="147"/>
      <c r="F47" s="145"/>
    </row>
    <row r="48" spans="3:4" ht="15.75">
      <c r="C48" s="54"/>
      <c r="D48" s="54"/>
    </row>
    <row r="49" spans="1:4" ht="15.75">
      <c r="A49" s="27"/>
      <c r="D49" s="113"/>
    </row>
  </sheetData>
  <sheetProtection selectLockedCells="1" selectUnlockedCells="1"/>
  <mergeCells count="1">
    <mergeCell ref="A1:H1"/>
  </mergeCells>
  <printOptions/>
  <pageMargins left="0.9881944444444445" right="0.39791666666666664" top="0.4097222222222222" bottom="0.4097222222222222" header="0.5118055555555555" footer="0.5118055555555555"/>
  <pageSetup fitToHeight="1" fitToWidth="1" horizontalDpi="300" verticalDpi="300" orientation="portrait" paperSize="9" scale="93" r:id="rId1"/>
  <rowBreaks count="1" manualBreakCount="1">
    <brk id="4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75" zoomScaleNormal="75" zoomScaleSheetLayoutView="80" zoomScalePageLayoutView="0" workbookViewId="0" topLeftCell="A1">
      <selection activeCell="I30" sqref="I30"/>
    </sheetView>
  </sheetViews>
  <sheetFormatPr defaultColWidth="8.796875" defaultRowHeight="15"/>
  <cols>
    <col min="1" max="1" width="44.09765625" style="1" customWidth="1"/>
    <col min="2" max="6" width="8.5" style="1" customWidth="1"/>
    <col min="7" max="7" width="9.69921875" style="1" customWidth="1"/>
  </cols>
  <sheetData>
    <row r="1" ht="16.5" customHeight="1">
      <c r="G1" s="424" t="s">
        <v>1014</v>
      </c>
    </row>
    <row r="2" ht="16.5" customHeight="1">
      <c r="G2" s="424" t="s">
        <v>629</v>
      </c>
    </row>
    <row r="3" ht="16.5" customHeight="1">
      <c r="G3" s="424" t="s">
        <v>630</v>
      </c>
    </row>
    <row r="4" ht="16.5" customHeight="1">
      <c r="G4" s="424"/>
    </row>
    <row r="5" spans="1:7" ht="48.75" customHeight="1">
      <c r="A5" s="717" t="s">
        <v>224</v>
      </c>
      <c r="B5" s="717"/>
      <c r="C5" s="717"/>
      <c r="D5" s="717"/>
      <c r="E5" s="717"/>
      <c r="F5" s="717"/>
      <c r="G5" s="717"/>
    </row>
    <row r="6" spans="1:7" ht="16.5" customHeight="1">
      <c r="A6" s="425"/>
      <c r="B6" s="425"/>
      <c r="C6" s="425"/>
      <c r="D6" s="111"/>
      <c r="E6" s="111"/>
      <c r="F6" s="111"/>
      <c r="G6" s="111"/>
    </row>
    <row r="7" spans="1:7" ht="16.5" customHeight="1">
      <c r="A7" s="425"/>
      <c r="B7" s="425"/>
      <c r="C7" s="425"/>
      <c r="D7" s="111"/>
      <c r="E7" s="111"/>
      <c r="F7" s="111"/>
      <c r="G7" s="112" t="s">
        <v>256</v>
      </c>
    </row>
    <row r="8" spans="1:7" ht="16.5" customHeight="1">
      <c r="A8" s="425"/>
      <c r="B8" s="425"/>
      <c r="C8" s="425"/>
      <c r="D8" s="111"/>
      <c r="E8" s="111"/>
      <c r="F8" s="111"/>
      <c r="G8" s="112" t="s">
        <v>631</v>
      </c>
    </row>
    <row r="9" spans="1:7" ht="16.5" customHeight="1">
      <c r="A9" s="425"/>
      <c r="B9" s="425"/>
      <c r="C9" s="425"/>
      <c r="D9" s="111"/>
      <c r="E9" s="111"/>
      <c r="F9" s="111"/>
      <c r="G9" s="112"/>
    </row>
    <row r="10" spans="1:7" ht="16.5" customHeight="1">
      <c r="A10" s="425"/>
      <c r="B10" s="425"/>
      <c r="C10" s="425"/>
      <c r="D10" s="111"/>
      <c r="E10" s="111"/>
      <c r="F10" s="111"/>
      <c r="G10" s="115" t="s">
        <v>259</v>
      </c>
    </row>
    <row r="11" spans="1:7" ht="16.5" customHeight="1">
      <c r="A11" s="425"/>
      <c r="B11" s="425"/>
      <c r="C11" s="425"/>
      <c r="D11" s="111"/>
      <c r="E11" s="111"/>
      <c r="F11" s="111"/>
      <c r="G11" s="112" t="s">
        <v>260</v>
      </c>
    </row>
    <row r="12" spans="1:7" ht="16.5" customHeight="1">
      <c r="A12" s="425"/>
      <c r="B12" s="425"/>
      <c r="C12" s="425"/>
      <c r="D12" s="111"/>
      <c r="E12" s="111"/>
      <c r="F12" s="111"/>
      <c r="G12" s="112" t="s">
        <v>261</v>
      </c>
    </row>
    <row r="14" spans="1:7" ht="15.75">
      <c r="A14" s="350"/>
      <c r="B14" s="426" t="s">
        <v>203</v>
      </c>
      <c r="C14" s="426" t="s">
        <v>747</v>
      </c>
      <c r="D14" s="427" t="s">
        <v>748</v>
      </c>
      <c r="E14" s="427" t="s">
        <v>1015</v>
      </c>
      <c r="F14" s="427">
        <v>2020</v>
      </c>
      <c r="G14" s="428" t="s">
        <v>274</v>
      </c>
    </row>
    <row r="15" spans="1:7" ht="15.75">
      <c r="A15" s="350" t="s">
        <v>1016</v>
      </c>
      <c r="B15" s="350"/>
      <c r="C15" s="350"/>
      <c r="D15" s="429"/>
      <c r="E15" s="429"/>
      <c r="F15" s="429"/>
      <c r="G15" s="428"/>
    </row>
    <row r="16" spans="1:7" ht="15.75">
      <c r="A16" s="430" t="s">
        <v>1017</v>
      </c>
      <c r="B16" s="430"/>
      <c r="C16" s="430"/>
      <c r="D16" s="429"/>
      <c r="E16" s="429"/>
      <c r="F16" s="429"/>
      <c r="G16" s="428"/>
    </row>
    <row r="17" spans="1:7" ht="15.75">
      <c r="A17" s="430" t="s">
        <v>1018</v>
      </c>
      <c r="B17" s="430"/>
      <c r="C17" s="430"/>
      <c r="D17" s="429"/>
      <c r="E17" s="429"/>
      <c r="F17" s="429"/>
      <c r="G17" s="428"/>
    </row>
    <row r="18" spans="1:7" ht="15.75">
      <c r="A18" s="430" t="s">
        <v>1019</v>
      </c>
      <c r="B18" s="430"/>
      <c r="C18" s="430"/>
      <c r="D18" s="429"/>
      <c r="E18" s="429"/>
      <c r="F18" s="429"/>
      <c r="G18" s="428"/>
    </row>
    <row r="19" spans="1:7" ht="15.75">
      <c r="A19" s="430" t="s">
        <v>1020</v>
      </c>
      <c r="B19" s="430"/>
      <c r="C19" s="430"/>
      <c r="D19" s="429"/>
      <c r="E19" s="429"/>
      <c r="F19" s="429"/>
      <c r="G19" s="428"/>
    </row>
    <row r="20" spans="1:7" ht="15.75">
      <c r="A20" s="430" t="s">
        <v>1021</v>
      </c>
      <c r="B20" s="430"/>
      <c r="C20" s="430"/>
      <c r="D20" s="429"/>
      <c r="E20" s="429"/>
      <c r="F20" s="429"/>
      <c r="G20" s="428"/>
    </row>
    <row r="21" spans="1:7" ht="15.75">
      <c r="A21" s="350" t="s">
        <v>1022</v>
      </c>
      <c r="B21" s="350"/>
      <c r="C21" s="350"/>
      <c r="D21" s="429"/>
      <c r="E21" s="429"/>
      <c r="F21" s="429"/>
      <c r="G21" s="428"/>
    </row>
    <row r="22" spans="1:7" ht="15.75">
      <c r="A22" s="431" t="s">
        <v>1023</v>
      </c>
      <c r="B22" s="431"/>
      <c r="C22" s="431"/>
      <c r="D22" s="429"/>
      <c r="E22" s="429"/>
      <c r="F22" s="429"/>
      <c r="G22" s="428"/>
    </row>
    <row r="23" spans="1:7" ht="15.75">
      <c r="A23" s="430" t="s">
        <v>1017</v>
      </c>
      <c r="B23" s="430"/>
      <c r="C23" s="430"/>
      <c r="D23" s="429"/>
      <c r="E23" s="429"/>
      <c r="F23" s="429"/>
      <c r="G23" s="428"/>
    </row>
    <row r="24" spans="1:7" ht="15.75">
      <c r="A24" s="430" t="s">
        <v>1018</v>
      </c>
      <c r="B24" s="430"/>
      <c r="C24" s="430"/>
      <c r="D24" s="429"/>
      <c r="E24" s="429"/>
      <c r="F24" s="429"/>
      <c r="G24" s="428"/>
    </row>
    <row r="25" spans="1:7" ht="15.75">
      <c r="A25" s="430" t="s">
        <v>1019</v>
      </c>
      <c r="B25" s="430"/>
      <c r="C25" s="430"/>
      <c r="D25" s="429"/>
      <c r="E25" s="429"/>
      <c r="F25" s="429"/>
      <c r="G25" s="428"/>
    </row>
    <row r="26" spans="1:7" ht="15.75">
      <c r="A26" s="430" t="s">
        <v>1020</v>
      </c>
      <c r="B26" s="430"/>
      <c r="C26" s="430"/>
      <c r="D26" s="429"/>
      <c r="E26" s="429"/>
      <c r="F26" s="429"/>
      <c r="G26" s="428"/>
    </row>
    <row r="27" spans="1:7" ht="15.75">
      <c r="A27" s="430" t="s">
        <v>1021</v>
      </c>
      <c r="B27" s="430"/>
      <c r="C27" s="430"/>
      <c r="D27" s="429"/>
      <c r="E27" s="429"/>
      <c r="F27" s="429"/>
      <c r="G27" s="428"/>
    </row>
    <row r="28" spans="1:7" ht="15.75">
      <c r="A28" s="431" t="s">
        <v>1024</v>
      </c>
      <c r="B28" s="431"/>
      <c r="C28" s="431"/>
      <c r="D28" s="429"/>
      <c r="E28" s="429"/>
      <c r="F28" s="429"/>
      <c r="G28" s="428"/>
    </row>
    <row r="29" spans="1:7" ht="15.75">
      <c r="A29" s="350" t="s">
        <v>1025</v>
      </c>
      <c r="B29" s="350"/>
      <c r="C29" s="350"/>
      <c r="D29" s="429"/>
      <c r="E29" s="429"/>
      <c r="F29" s="429"/>
      <c r="G29" s="428"/>
    </row>
    <row r="30" spans="1:7" ht="15.75">
      <c r="A30" s="350" t="s">
        <v>1026</v>
      </c>
      <c r="B30" s="350"/>
      <c r="C30" s="350"/>
      <c r="D30" s="429"/>
      <c r="E30" s="429"/>
      <c r="F30" s="429"/>
      <c r="G30" s="428"/>
    </row>
    <row r="31" spans="1:7" ht="15.75">
      <c r="A31" s="350" t="s">
        <v>771</v>
      </c>
      <c r="B31" s="350"/>
      <c r="C31" s="350"/>
      <c r="D31" s="429"/>
      <c r="E31" s="429"/>
      <c r="F31" s="429"/>
      <c r="G31" s="428"/>
    </row>
    <row r="32" spans="1:7" ht="15.75">
      <c r="A32" s="350" t="s">
        <v>736</v>
      </c>
      <c r="B32" s="350"/>
      <c r="C32" s="350"/>
      <c r="D32" s="429"/>
      <c r="E32" s="429"/>
      <c r="F32" s="429"/>
      <c r="G32" s="428"/>
    </row>
    <row r="33" spans="1:7" ht="15.75">
      <c r="A33" s="350" t="s">
        <v>1027</v>
      </c>
      <c r="B33" s="350"/>
      <c r="C33" s="350"/>
      <c r="D33" s="429"/>
      <c r="E33" s="429"/>
      <c r="F33" s="429"/>
      <c r="G33" s="428"/>
    </row>
    <row r="34" spans="1:7" ht="15.75">
      <c r="A34" s="350" t="s">
        <v>1028</v>
      </c>
      <c r="B34" s="350"/>
      <c r="C34" s="350"/>
      <c r="D34" s="429"/>
      <c r="E34" s="429"/>
      <c r="F34" s="429"/>
      <c r="G34" s="428"/>
    </row>
    <row r="35" spans="1:7" ht="15.75">
      <c r="A35" s="350"/>
      <c r="B35" s="350"/>
      <c r="C35" s="350"/>
      <c r="D35" s="432"/>
      <c r="E35" s="432"/>
      <c r="F35" s="432"/>
      <c r="G35" s="350"/>
    </row>
    <row r="36" spans="1:7" ht="15.75">
      <c r="A36" s="350" t="s">
        <v>1029</v>
      </c>
      <c r="B36" s="350"/>
      <c r="C36" s="350"/>
      <c r="D36" s="429"/>
      <c r="E36" s="429"/>
      <c r="F36" s="429"/>
      <c r="G36" s="428"/>
    </row>
    <row r="37" spans="1:7" ht="15.75">
      <c r="A37" s="350" t="s">
        <v>1030</v>
      </c>
      <c r="B37" s="350"/>
      <c r="C37" s="350"/>
      <c r="D37" s="429"/>
      <c r="E37" s="429"/>
      <c r="F37" s="429"/>
      <c r="G37" s="428"/>
    </row>
    <row r="38" spans="1:7" ht="15.75">
      <c r="A38" s="430" t="s">
        <v>1017</v>
      </c>
      <c r="B38" s="430"/>
      <c r="C38" s="430"/>
      <c r="D38" s="429"/>
      <c r="E38" s="429"/>
      <c r="F38" s="429"/>
      <c r="G38" s="428"/>
    </row>
    <row r="39" spans="1:7" ht="15.75">
      <c r="A39" s="430" t="s">
        <v>1018</v>
      </c>
      <c r="B39" s="430"/>
      <c r="C39" s="430"/>
      <c r="D39" s="429"/>
      <c r="E39" s="429"/>
      <c r="F39" s="429"/>
      <c r="G39" s="428"/>
    </row>
    <row r="40" spans="1:7" ht="15.75">
      <c r="A40" s="430" t="s">
        <v>1019</v>
      </c>
      <c r="B40" s="430"/>
      <c r="C40" s="430"/>
      <c r="D40" s="429"/>
      <c r="E40" s="429"/>
      <c r="F40" s="429"/>
      <c r="G40" s="428"/>
    </row>
    <row r="41" spans="1:7" ht="15.75">
      <c r="A41" s="430" t="s">
        <v>1020</v>
      </c>
      <c r="B41" s="430"/>
      <c r="C41" s="430"/>
      <c r="D41" s="429"/>
      <c r="E41" s="429"/>
      <c r="F41" s="429"/>
      <c r="G41" s="428"/>
    </row>
    <row r="42" spans="1:7" ht="15.75">
      <c r="A42" s="430" t="s">
        <v>1021</v>
      </c>
      <c r="B42" s="430"/>
      <c r="C42" s="430"/>
      <c r="D42" s="429"/>
      <c r="E42" s="429"/>
      <c r="F42" s="429"/>
      <c r="G42" s="428"/>
    </row>
    <row r="43" spans="1:7" ht="15.75">
      <c r="A43" s="350" t="s">
        <v>1031</v>
      </c>
      <c r="B43" s="350"/>
      <c r="C43" s="350"/>
      <c r="D43" s="429"/>
      <c r="E43" s="429"/>
      <c r="F43" s="429"/>
      <c r="G43" s="428"/>
    </row>
    <row r="44" spans="1:7" ht="15.75">
      <c r="A44" s="431" t="s">
        <v>1032</v>
      </c>
      <c r="B44" s="431"/>
      <c r="C44" s="431"/>
      <c r="D44" s="429"/>
      <c r="E44" s="429"/>
      <c r="F44" s="429"/>
      <c r="G44" s="428"/>
    </row>
    <row r="45" spans="1:7" ht="15.75">
      <c r="A45" s="430" t="s">
        <v>1017</v>
      </c>
      <c r="B45" s="430"/>
      <c r="C45" s="430"/>
      <c r="D45" s="429"/>
      <c r="E45" s="429"/>
      <c r="F45" s="429"/>
      <c r="G45" s="428"/>
    </row>
    <row r="46" spans="1:7" ht="15.75">
      <c r="A46" s="430" t="s">
        <v>1018</v>
      </c>
      <c r="B46" s="430"/>
      <c r="C46" s="430"/>
      <c r="D46" s="429"/>
      <c r="E46" s="429"/>
      <c r="F46" s="429"/>
      <c r="G46" s="428"/>
    </row>
    <row r="47" spans="1:7" ht="15.75">
      <c r="A47" s="430" t="s">
        <v>1019</v>
      </c>
      <c r="B47" s="430"/>
      <c r="C47" s="430"/>
      <c r="D47" s="429"/>
      <c r="E47" s="429"/>
      <c r="F47" s="429"/>
      <c r="G47" s="428"/>
    </row>
    <row r="48" spans="1:7" ht="15.75">
      <c r="A48" s="430" t="s">
        <v>1020</v>
      </c>
      <c r="B48" s="430"/>
      <c r="C48" s="430"/>
      <c r="D48" s="429"/>
      <c r="E48" s="429"/>
      <c r="F48" s="429"/>
      <c r="G48" s="428"/>
    </row>
    <row r="49" spans="1:7" ht="15.75">
      <c r="A49" s="430" t="s">
        <v>1021</v>
      </c>
      <c r="B49" s="430"/>
      <c r="C49" s="430"/>
      <c r="D49" s="429"/>
      <c r="E49" s="429"/>
      <c r="F49" s="429"/>
      <c r="G49" s="428"/>
    </row>
    <row r="50" spans="1:7" ht="15.75">
      <c r="A50" s="431" t="s">
        <v>1033</v>
      </c>
      <c r="B50" s="431"/>
      <c r="C50" s="431"/>
      <c r="D50" s="429"/>
      <c r="E50" s="429"/>
      <c r="F50" s="429"/>
      <c r="G50" s="428"/>
    </row>
    <row r="51" spans="1:7" ht="15.75">
      <c r="A51" s="431" t="s">
        <v>1034</v>
      </c>
      <c r="B51" s="431"/>
      <c r="C51" s="431"/>
      <c r="D51" s="429"/>
      <c r="E51" s="429"/>
      <c r="F51" s="429"/>
      <c r="G51" s="428"/>
    </row>
    <row r="52" spans="1:7" ht="15.75">
      <c r="A52" s="350" t="s">
        <v>1035</v>
      </c>
      <c r="B52" s="350"/>
      <c r="C52" s="350"/>
      <c r="D52" s="429"/>
      <c r="E52" s="429"/>
      <c r="F52" s="429"/>
      <c r="G52" s="428"/>
    </row>
    <row r="53" spans="1:7" ht="15.75">
      <c r="A53" s="350" t="s">
        <v>1036</v>
      </c>
      <c r="B53" s="350"/>
      <c r="C53" s="350"/>
      <c r="D53" s="432"/>
      <c r="E53" s="432"/>
      <c r="F53" s="432"/>
      <c r="G53" s="350"/>
    </row>
    <row r="54" spans="1:7" ht="15.75">
      <c r="A54" s="350" t="s">
        <v>1030</v>
      </c>
      <c r="B54" s="350"/>
      <c r="C54" s="350"/>
      <c r="D54" s="429"/>
      <c r="E54" s="429"/>
      <c r="F54" s="429"/>
      <c r="G54" s="428"/>
    </row>
    <row r="55" spans="1:7" ht="15.75">
      <c r="A55" s="350" t="s">
        <v>1031</v>
      </c>
      <c r="B55" s="350"/>
      <c r="C55" s="350"/>
      <c r="D55" s="429"/>
      <c r="E55" s="429"/>
      <c r="F55" s="429"/>
      <c r="G55" s="428"/>
    </row>
    <row r="56" spans="1:7" ht="15.75">
      <c r="A56" s="350" t="s">
        <v>1037</v>
      </c>
      <c r="B56" s="350"/>
      <c r="C56" s="350"/>
      <c r="D56" s="429"/>
      <c r="E56" s="429"/>
      <c r="F56" s="429"/>
      <c r="G56" s="428"/>
    </row>
    <row r="57" spans="1:7" ht="15.75">
      <c r="A57" s="350" t="s">
        <v>1038</v>
      </c>
      <c r="B57" s="350"/>
      <c r="C57" s="350"/>
      <c r="D57" s="432"/>
      <c r="E57" s="432"/>
      <c r="F57" s="432"/>
      <c r="G57" s="350"/>
    </row>
    <row r="58" spans="1:7" ht="15.75">
      <c r="A58" s="350" t="s">
        <v>1030</v>
      </c>
      <c r="B58" s="350"/>
      <c r="C58" s="350"/>
      <c r="D58" s="432"/>
      <c r="E58" s="432"/>
      <c r="F58" s="432"/>
      <c r="G58" s="350"/>
    </row>
    <row r="59" spans="1:7" ht="15.75">
      <c r="A59" s="431" t="s">
        <v>1039</v>
      </c>
      <c r="B59" s="431"/>
      <c r="C59" s="431"/>
      <c r="D59" s="429"/>
      <c r="E59" s="429"/>
      <c r="F59" s="429"/>
      <c r="G59" s="428"/>
    </row>
    <row r="60" spans="1:7" ht="15.75">
      <c r="A60" s="431" t="s">
        <v>1040</v>
      </c>
      <c r="B60" s="431"/>
      <c r="C60" s="431"/>
      <c r="D60" s="429"/>
      <c r="E60" s="429"/>
      <c r="F60" s="429"/>
      <c r="G60" s="428"/>
    </row>
    <row r="61" spans="1:7" ht="15.75">
      <c r="A61" s="350" t="s">
        <v>1031</v>
      </c>
      <c r="B61" s="350"/>
      <c r="C61" s="350"/>
      <c r="D61" s="429"/>
      <c r="E61" s="429"/>
      <c r="F61" s="429"/>
      <c r="G61" s="428"/>
    </row>
    <row r="62" spans="1:7" ht="15.75">
      <c r="A62" s="431" t="s">
        <v>1041</v>
      </c>
      <c r="B62" s="431"/>
      <c r="C62" s="431"/>
      <c r="D62" s="429"/>
      <c r="E62" s="429"/>
      <c r="F62" s="429"/>
      <c r="G62" s="428"/>
    </row>
    <row r="63" spans="1:7" ht="15.75">
      <c r="A63" s="350" t="s">
        <v>1042</v>
      </c>
      <c r="B63" s="350"/>
      <c r="C63" s="350"/>
      <c r="D63" s="432"/>
      <c r="E63" s="432"/>
      <c r="F63" s="432"/>
      <c r="G63" s="350"/>
    </row>
    <row r="64" spans="1:7" ht="15.75">
      <c r="A64" s="350" t="s">
        <v>1043</v>
      </c>
      <c r="B64" s="350"/>
      <c r="C64" s="350"/>
      <c r="D64" s="432"/>
      <c r="E64" s="432"/>
      <c r="F64" s="432"/>
      <c r="G64" s="350"/>
    </row>
    <row r="65" spans="1:7" ht="15.75">
      <c r="A65" s="350" t="s">
        <v>1044</v>
      </c>
      <c r="B65" s="350"/>
      <c r="C65" s="350"/>
      <c r="D65" s="432"/>
      <c r="E65" s="432"/>
      <c r="F65" s="432"/>
      <c r="G65" s="350"/>
    </row>
    <row r="66" spans="1:7" ht="15.75">
      <c r="A66" s="433" t="s">
        <v>1045</v>
      </c>
      <c r="B66" s="433"/>
      <c r="C66" s="433"/>
      <c r="D66" s="432"/>
      <c r="E66" s="432"/>
      <c r="F66" s="432"/>
      <c r="G66" s="350"/>
    </row>
    <row r="67" spans="1:7" ht="15.75">
      <c r="A67" s="433" t="s">
        <v>1046</v>
      </c>
      <c r="B67" s="433"/>
      <c r="C67" s="433"/>
      <c r="D67" s="432"/>
      <c r="E67" s="432"/>
      <c r="F67" s="432"/>
      <c r="G67" s="350"/>
    </row>
    <row r="68" spans="1:7" ht="15.75">
      <c r="A68" s="433" t="s">
        <v>1047</v>
      </c>
      <c r="B68" s="433"/>
      <c r="C68" s="433"/>
      <c r="D68" s="432"/>
      <c r="E68" s="432"/>
      <c r="F68" s="432"/>
      <c r="G68" s="350"/>
    </row>
    <row r="69" spans="1:7" ht="15.75">
      <c r="A69" s="433" t="s">
        <v>1048</v>
      </c>
      <c r="B69" s="433"/>
      <c r="C69" s="433"/>
      <c r="D69" s="429"/>
      <c r="E69" s="429"/>
      <c r="F69" s="429"/>
      <c r="G69" s="428"/>
    </row>
    <row r="70" spans="1:7" ht="15.75">
      <c r="A70" s="350" t="s">
        <v>1043</v>
      </c>
      <c r="B70" s="350"/>
      <c r="C70" s="350"/>
      <c r="D70" s="432"/>
      <c r="E70" s="432"/>
      <c r="F70" s="432"/>
      <c r="G70" s="350"/>
    </row>
    <row r="71" spans="1:7" ht="15.75">
      <c r="A71" s="350" t="s">
        <v>1049</v>
      </c>
      <c r="B71" s="350"/>
      <c r="C71" s="350"/>
      <c r="D71" s="432"/>
      <c r="E71" s="432"/>
      <c r="F71" s="432"/>
      <c r="G71" s="350"/>
    </row>
    <row r="72" spans="1:7" ht="15.75">
      <c r="A72" s="433" t="s">
        <v>1050</v>
      </c>
      <c r="B72" s="433"/>
      <c r="C72" s="433"/>
      <c r="D72" s="429"/>
      <c r="E72" s="429"/>
      <c r="F72" s="429"/>
      <c r="G72" s="428"/>
    </row>
    <row r="73" spans="1:7" ht="15.75">
      <c r="A73" s="350" t="s">
        <v>1051</v>
      </c>
      <c r="B73" s="350"/>
      <c r="C73" s="350"/>
      <c r="D73" s="432"/>
      <c r="E73" s="432"/>
      <c r="F73" s="432"/>
      <c r="G73" s="350"/>
    </row>
    <row r="74" spans="1:7" ht="15.75">
      <c r="A74" s="350" t="s">
        <v>1052</v>
      </c>
      <c r="B74" s="350"/>
      <c r="C74" s="350"/>
      <c r="D74" s="432"/>
      <c r="E74" s="432"/>
      <c r="F74" s="432"/>
      <c r="G74" s="350"/>
    </row>
  </sheetData>
  <sheetProtection selectLockedCells="1" selectUnlockedCells="1"/>
  <mergeCells count="1">
    <mergeCell ref="A5:G5"/>
  </mergeCells>
  <printOptions/>
  <pageMargins left="0.9763888888888889" right="0.425" top="0.39791666666666664" bottom="0.39791666666666664" header="0.5118055555555555" footer="0.5118055555555555"/>
  <pageSetup fitToHeight="2" fitToWidth="1" horizontalDpi="300" verticalDpi="3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83"/>
  <sheetViews>
    <sheetView zoomScale="75" zoomScaleNormal="75" zoomScaleSheetLayoutView="80" zoomScalePageLayoutView="0" workbookViewId="0" topLeftCell="A68">
      <selection activeCell="A83" sqref="A83"/>
    </sheetView>
  </sheetViews>
  <sheetFormatPr defaultColWidth="8.796875" defaultRowHeight="15"/>
  <cols>
    <col min="1" max="1" width="7" style="1" customWidth="1"/>
    <col min="2" max="2" width="53.69921875" style="1" customWidth="1"/>
    <col min="3" max="6" width="12.3984375" style="1" customWidth="1"/>
    <col min="7" max="7" width="10.5" style="1" customWidth="1"/>
    <col min="8" max="8" width="9.09765625" style="1" customWidth="1"/>
  </cols>
  <sheetData>
    <row r="1" spans="1:9" ht="36.75" customHeight="1">
      <c r="A1" s="712" t="s">
        <v>226</v>
      </c>
      <c r="B1" s="712"/>
      <c r="C1" s="712"/>
      <c r="D1" s="712"/>
      <c r="E1" s="712"/>
      <c r="F1" s="712"/>
      <c r="H1" s="112"/>
      <c r="I1" s="434"/>
    </row>
    <row r="2" spans="1:9" ht="36.75" customHeight="1">
      <c r="A2" s="394"/>
      <c r="B2" s="394"/>
      <c r="C2" s="394"/>
      <c r="D2" s="394"/>
      <c r="E2" s="394"/>
      <c r="F2" s="394"/>
      <c r="H2" s="112"/>
      <c r="I2" s="434"/>
    </row>
    <row r="3" spans="6:9" ht="15.75">
      <c r="F3" s="112" t="s">
        <v>256</v>
      </c>
      <c r="I3" s="434"/>
    </row>
    <row r="4" spans="6:9" ht="15.75">
      <c r="F4" s="112" t="s">
        <v>885</v>
      </c>
      <c r="I4" s="434"/>
    </row>
    <row r="5" spans="5:9" ht="15.75">
      <c r="E5" s="1" t="s">
        <v>1053</v>
      </c>
      <c r="F5" s="112"/>
      <c r="I5" s="434"/>
    </row>
    <row r="6" spans="6:9" ht="15.75">
      <c r="F6" s="115" t="s">
        <v>259</v>
      </c>
      <c r="I6" s="434"/>
    </row>
    <row r="7" spans="6:9" ht="15.75">
      <c r="F7" s="112" t="s">
        <v>1054</v>
      </c>
      <c r="I7" s="434"/>
    </row>
    <row r="8" spans="6:9" ht="15.75">
      <c r="F8" s="112" t="s">
        <v>261</v>
      </c>
      <c r="I8" s="434"/>
    </row>
    <row r="9" spans="6:9" ht="15.75">
      <c r="F9" s="112"/>
      <c r="I9" s="434"/>
    </row>
    <row r="10" spans="6:9" ht="15.75">
      <c r="F10" s="112" t="s">
        <v>1055</v>
      </c>
      <c r="I10" s="434"/>
    </row>
    <row r="11" spans="1:9" ht="15.75" customHeight="1">
      <c r="A11" s="718" t="s">
        <v>621</v>
      </c>
      <c r="B11" s="719" t="s">
        <v>889</v>
      </c>
      <c r="C11" s="720" t="s">
        <v>1056</v>
      </c>
      <c r="D11" s="720"/>
      <c r="E11" s="721" t="s">
        <v>1057</v>
      </c>
      <c r="F11" s="721"/>
      <c r="I11" s="434"/>
    </row>
    <row r="12" spans="1:9" ht="15.75">
      <c r="A12" s="718"/>
      <c r="B12" s="719"/>
      <c r="C12" s="435" t="s">
        <v>647</v>
      </c>
      <c r="D12" s="436" t="s">
        <v>1058</v>
      </c>
      <c r="E12" s="437" t="s">
        <v>647</v>
      </c>
      <c r="F12" s="436" t="s">
        <v>1058</v>
      </c>
      <c r="I12" s="434"/>
    </row>
    <row r="13" spans="1:9" ht="15.75">
      <c r="A13" s="438">
        <v>1</v>
      </c>
      <c r="B13" s="439">
        <v>2</v>
      </c>
      <c r="C13" s="440">
        <v>3</v>
      </c>
      <c r="D13" s="441">
        <v>4</v>
      </c>
      <c r="E13" s="442">
        <v>5</v>
      </c>
      <c r="F13" s="441">
        <v>6</v>
      </c>
      <c r="I13" s="434"/>
    </row>
    <row r="14" spans="1:9" ht="15.75" customHeight="1">
      <c r="A14" s="310" t="s">
        <v>891</v>
      </c>
      <c r="B14" s="376" t="s">
        <v>892</v>
      </c>
      <c r="C14" s="310">
        <f>SUM(C17+C18)</f>
        <v>47.4</v>
      </c>
      <c r="D14" s="310">
        <f>SUM(D17+D18)</f>
        <v>56.7</v>
      </c>
      <c r="E14" s="310">
        <f>E16+E18</f>
        <v>390.44</v>
      </c>
      <c r="F14" s="310">
        <v>475.8</v>
      </c>
      <c r="I14" s="434"/>
    </row>
    <row r="15" spans="1:9" ht="15.75">
      <c r="A15" s="313"/>
      <c r="B15" s="443" t="s">
        <v>893</v>
      </c>
      <c r="C15" s="329"/>
      <c r="D15" s="444"/>
      <c r="E15" s="445"/>
      <c r="F15" s="306"/>
      <c r="I15" s="434"/>
    </row>
    <row r="16" spans="1:9" ht="15.75">
      <c r="A16" s="313"/>
      <c r="B16" s="443" t="s">
        <v>894</v>
      </c>
      <c r="C16" s="329">
        <v>359.3</v>
      </c>
      <c r="D16" s="329">
        <v>359.3</v>
      </c>
      <c r="E16" s="445">
        <v>377.64</v>
      </c>
      <c r="F16" s="306">
        <v>386.1</v>
      </c>
      <c r="I16" s="434"/>
    </row>
    <row r="17" spans="1:9" ht="15.75">
      <c r="A17" s="313" t="s">
        <v>199</v>
      </c>
      <c r="B17" s="443" t="s">
        <v>895</v>
      </c>
      <c r="C17" s="329"/>
      <c r="D17" s="444"/>
      <c r="E17" s="445">
        <v>0</v>
      </c>
      <c r="F17" s="306">
        <v>73.975</v>
      </c>
      <c r="I17" s="434"/>
    </row>
    <row r="18" spans="1:9" ht="15.75">
      <c r="A18" s="335" t="s">
        <v>201</v>
      </c>
      <c r="B18" s="446" t="s">
        <v>1059</v>
      </c>
      <c r="C18" s="379">
        <v>47.4</v>
      </c>
      <c r="D18" s="447">
        <v>56.7</v>
      </c>
      <c r="E18" s="448">
        <v>12.8</v>
      </c>
      <c r="F18" s="436">
        <f>8.423+7.249</f>
        <v>15.672</v>
      </c>
      <c r="I18" s="434"/>
    </row>
    <row r="19" spans="1:9" ht="15.75">
      <c r="A19" s="310" t="s">
        <v>897</v>
      </c>
      <c r="B19" s="376" t="s">
        <v>898</v>
      </c>
      <c r="C19" s="310">
        <v>324.7</v>
      </c>
      <c r="D19" s="449">
        <v>345</v>
      </c>
      <c r="E19" s="305">
        <f>E25+E26+E27+E28+E24+E22+E23</f>
        <v>359.80400000000003</v>
      </c>
      <c r="F19" s="305">
        <f>F20+F25+F26+F27+F28</f>
        <v>393.886</v>
      </c>
      <c r="I19" s="434"/>
    </row>
    <row r="20" spans="1:9" ht="15.75">
      <c r="A20" s="329" t="s">
        <v>653</v>
      </c>
      <c r="B20" s="450" t="s">
        <v>899</v>
      </c>
      <c r="C20" s="329">
        <v>136.1</v>
      </c>
      <c r="D20" s="444">
        <v>141.7</v>
      </c>
      <c r="E20" s="306">
        <f>26.116+E24</f>
        <v>164.902</v>
      </c>
      <c r="F20" s="306">
        <f>27.114+F24</f>
        <v>172.465</v>
      </c>
      <c r="I20" s="434"/>
    </row>
    <row r="21" spans="1:9" ht="15.75">
      <c r="A21" s="313"/>
      <c r="B21" s="443" t="s">
        <v>893</v>
      </c>
      <c r="C21" s="313"/>
      <c r="D21" s="451"/>
      <c r="E21" s="452"/>
      <c r="F21" s="306"/>
      <c r="I21" s="434"/>
    </row>
    <row r="22" spans="1:9" ht="15.75">
      <c r="A22" s="313" t="s">
        <v>199</v>
      </c>
      <c r="B22" s="443" t="s">
        <v>900</v>
      </c>
      <c r="C22" s="313"/>
      <c r="D22" s="451"/>
      <c r="E22" s="452">
        <v>6.85</v>
      </c>
      <c r="F22" s="453">
        <v>6.2780000000000005</v>
      </c>
      <c r="I22" s="434"/>
    </row>
    <row r="23" spans="1:9" ht="15.75">
      <c r="A23" s="313" t="s">
        <v>201</v>
      </c>
      <c r="B23" s="443" t="s">
        <v>901</v>
      </c>
      <c r="C23" s="313">
        <v>29</v>
      </c>
      <c r="D23" s="451">
        <v>30.1</v>
      </c>
      <c r="E23" s="452">
        <f>26.116-6.85</f>
        <v>19.266</v>
      </c>
      <c r="F23" s="453">
        <f>27.115-6.279</f>
        <v>20.836</v>
      </c>
      <c r="I23" s="434"/>
    </row>
    <row r="24" spans="1:9" ht="15.75">
      <c r="A24" s="313" t="s">
        <v>204</v>
      </c>
      <c r="B24" s="443" t="s">
        <v>902</v>
      </c>
      <c r="C24" s="313">
        <v>107.1</v>
      </c>
      <c r="D24" s="451">
        <v>111.6</v>
      </c>
      <c r="E24" s="445">
        <f>100.388+38.398</f>
        <v>138.786</v>
      </c>
      <c r="F24" s="306">
        <v>145.351</v>
      </c>
      <c r="I24" s="434"/>
    </row>
    <row r="25" spans="1:9" ht="15.75">
      <c r="A25" s="329" t="s">
        <v>308</v>
      </c>
      <c r="B25" s="450" t="s">
        <v>903</v>
      </c>
      <c r="C25" s="329">
        <v>137.7</v>
      </c>
      <c r="D25" s="444">
        <v>153.1</v>
      </c>
      <c r="E25" s="445">
        <f>113.281+29.906</f>
        <v>143.187</v>
      </c>
      <c r="F25" s="306">
        <f>118.158+30.683</f>
        <v>148.841</v>
      </c>
      <c r="I25" s="434"/>
    </row>
    <row r="26" spans="1:9" ht="15.75">
      <c r="A26" s="329" t="s">
        <v>904</v>
      </c>
      <c r="B26" s="450" t="s">
        <v>905</v>
      </c>
      <c r="C26" s="329">
        <v>32.1</v>
      </c>
      <c r="D26" s="444">
        <v>31</v>
      </c>
      <c r="E26" s="445">
        <v>32.141</v>
      </c>
      <c r="F26" s="306">
        <v>32.8</v>
      </c>
      <c r="I26" s="434"/>
    </row>
    <row r="27" spans="1:9" ht="15.75">
      <c r="A27" s="329" t="s">
        <v>906</v>
      </c>
      <c r="B27" s="450" t="s">
        <v>907</v>
      </c>
      <c r="C27" s="329">
        <v>2</v>
      </c>
      <c r="D27" s="444">
        <v>1.8</v>
      </c>
      <c r="E27" s="445">
        <f>1.168+0.628+0.199</f>
        <v>1.9949999999999999</v>
      </c>
      <c r="F27" s="306">
        <f>1.56+0.558+0.049</f>
        <v>2.1670000000000003</v>
      </c>
      <c r="I27" s="434"/>
    </row>
    <row r="28" spans="1:9" ht="15.75">
      <c r="A28" s="329" t="s">
        <v>225</v>
      </c>
      <c r="B28" s="450" t="s">
        <v>908</v>
      </c>
      <c r="C28" s="329">
        <v>16.8</v>
      </c>
      <c r="D28" s="444">
        <v>17.4</v>
      </c>
      <c r="E28" s="445">
        <f>19.574-E27</f>
        <v>17.579</v>
      </c>
      <c r="F28" s="306">
        <f>23.253-F27+4.888+3.109+8.53</f>
        <v>37.613</v>
      </c>
      <c r="I28" s="434"/>
    </row>
    <row r="29" spans="1:9" ht="15.75">
      <c r="A29" s="313"/>
      <c r="B29" s="443" t="s">
        <v>893</v>
      </c>
      <c r="C29" s="313"/>
      <c r="D29" s="451"/>
      <c r="E29" s="452"/>
      <c r="F29" s="453"/>
      <c r="I29" s="434"/>
    </row>
    <row r="30" spans="1:9" ht="15.75">
      <c r="A30" s="313" t="s">
        <v>836</v>
      </c>
      <c r="B30" s="443" t="s">
        <v>909</v>
      </c>
      <c r="C30" s="313"/>
      <c r="D30" s="451"/>
      <c r="E30" s="452"/>
      <c r="F30" s="453"/>
      <c r="I30" s="434"/>
    </row>
    <row r="31" spans="1:9" ht="15.75">
      <c r="A31" s="313" t="s">
        <v>840</v>
      </c>
      <c r="B31" s="443" t="s">
        <v>910</v>
      </c>
      <c r="C31" s="313">
        <v>3.7</v>
      </c>
      <c r="D31" s="451">
        <v>3.4</v>
      </c>
      <c r="E31" s="452">
        <v>3.4</v>
      </c>
      <c r="F31" s="453">
        <v>3.4</v>
      </c>
      <c r="I31" s="434"/>
    </row>
    <row r="32" spans="1:9" ht="15.75">
      <c r="A32" s="335" t="s">
        <v>842</v>
      </c>
      <c r="B32" s="446" t="s">
        <v>911</v>
      </c>
      <c r="C32" s="335"/>
      <c r="D32" s="454"/>
      <c r="E32" s="455"/>
      <c r="F32" s="456"/>
      <c r="I32" s="434"/>
    </row>
    <row r="33" spans="1:9" ht="15.75">
      <c r="A33" s="343" t="s">
        <v>912</v>
      </c>
      <c r="B33" s="373" t="s">
        <v>913</v>
      </c>
      <c r="C33" s="343">
        <v>82</v>
      </c>
      <c r="D33" s="457">
        <v>75.4</v>
      </c>
      <c r="E33" s="458">
        <f>E14-E19</f>
        <v>30.635999999999967</v>
      </c>
      <c r="F33" s="458">
        <f>F14-F19</f>
        <v>81.91399999999999</v>
      </c>
      <c r="I33" s="434"/>
    </row>
    <row r="34" spans="1:9" ht="15.75">
      <c r="A34" s="310" t="s">
        <v>914</v>
      </c>
      <c r="B34" s="376" t="s">
        <v>915</v>
      </c>
      <c r="C34" s="310">
        <v>2</v>
      </c>
      <c r="D34" s="449">
        <v>1.8</v>
      </c>
      <c r="E34" s="459"/>
      <c r="F34" s="460"/>
      <c r="I34" s="434"/>
    </row>
    <row r="35" spans="1:9" ht="15.75">
      <c r="A35" s="313" t="s">
        <v>653</v>
      </c>
      <c r="B35" s="443" t="s">
        <v>916</v>
      </c>
      <c r="C35" s="313">
        <v>14</v>
      </c>
      <c r="D35" s="451">
        <v>16</v>
      </c>
      <c r="E35" s="452">
        <v>4.2</v>
      </c>
      <c r="F35" s="453">
        <v>5.016</v>
      </c>
      <c r="I35" s="434"/>
    </row>
    <row r="36" spans="1:9" ht="15.75">
      <c r="A36" s="313"/>
      <c r="B36" s="443" t="s">
        <v>917</v>
      </c>
      <c r="C36" s="313"/>
      <c r="D36" s="451"/>
      <c r="E36" s="452"/>
      <c r="F36" s="453"/>
      <c r="I36" s="434"/>
    </row>
    <row r="37" spans="1:9" ht="31.5">
      <c r="A37" s="313" t="s">
        <v>199</v>
      </c>
      <c r="B37" s="443" t="s">
        <v>918</v>
      </c>
      <c r="C37" s="313"/>
      <c r="D37" s="451"/>
      <c r="E37" s="452"/>
      <c r="F37" s="453"/>
      <c r="I37" s="434"/>
    </row>
    <row r="38" spans="1:9" ht="15.75">
      <c r="A38" s="313" t="s">
        <v>201</v>
      </c>
      <c r="B38" s="461" t="s">
        <v>919</v>
      </c>
      <c r="C38" s="313">
        <v>0.3</v>
      </c>
      <c r="D38" s="451">
        <v>0.4</v>
      </c>
      <c r="E38" s="452">
        <v>0.5</v>
      </c>
      <c r="F38" s="453">
        <v>0.651</v>
      </c>
      <c r="I38" s="434"/>
    </row>
    <row r="39" spans="1:9" ht="15.75">
      <c r="A39" s="313" t="s">
        <v>308</v>
      </c>
      <c r="B39" s="443" t="s">
        <v>920</v>
      </c>
      <c r="C39" s="313">
        <v>12</v>
      </c>
      <c r="D39" s="451">
        <v>14.2</v>
      </c>
      <c r="E39" s="452">
        <v>3.6</v>
      </c>
      <c r="F39" s="453">
        <v>9.3</v>
      </c>
      <c r="I39" s="434"/>
    </row>
    <row r="40" spans="1:9" ht="15.75">
      <c r="A40" s="313"/>
      <c r="B40" s="443" t="s">
        <v>917</v>
      </c>
      <c r="C40" s="313"/>
      <c r="D40" s="451"/>
      <c r="E40" s="452"/>
      <c r="F40" s="453"/>
      <c r="I40" s="434"/>
    </row>
    <row r="41" spans="1:9" ht="15.75">
      <c r="A41" s="335" t="s">
        <v>209</v>
      </c>
      <c r="B41" s="446" t="s">
        <v>921</v>
      </c>
      <c r="C41" s="335">
        <v>0.2</v>
      </c>
      <c r="D41" s="454">
        <v>0.3</v>
      </c>
      <c r="E41" s="455">
        <v>0.3</v>
      </c>
      <c r="F41" s="456">
        <v>0.28700000000000003</v>
      </c>
      <c r="I41" s="434"/>
    </row>
    <row r="42" spans="1:9" ht="15.75">
      <c r="A42" s="339" t="s">
        <v>922</v>
      </c>
      <c r="B42" s="462" t="s">
        <v>923</v>
      </c>
      <c r="C42" s="339">
        <v>80</v>
      </c>
      <c r="D42" s="463">
        <v>77.3</v>
      </c>
      <c r="E42" s="464">
        <v>19.2</v>
      </c>
      <c r="F42" s="465">
        <v>78</v>
      </c>
      <c r="I42" s="434"/>
    </row>
    <row r="43" spans="1:9" ht="15.75">
      <c r="A43" s="343" t="s">
        <v>924</v>
      </c>
      <c r="B43" s="373" t="s">
        <v>736</v>
      </c>
      <c r="C43" s="343">
        <v>16</v>
      </c>
      <c r="D43" s="457">
        <v>17.2</v>
      </c>
      <c r="E43" s="466">
        <v>3.9</v>
      </c>
      <c r="F43" s="467">
        <v>17.3</v>
      </c>
      <c r="I43" s="434"/>
    </row>
    <row r="44" spans="1:9" ht="15.75">
      <c r="A44" s="343" t="s">
        <v>925</v>
      </c>
      <c r="B44" s="373" t="s">
        <v>926</v>
      </c>
      <c r="C44" s="343">
        <f>C42-C43</f>
        <v>64</v>
      </c>
      <c r="D44" s="343">
        <f>D42-D43</f>
        <v>60.099999999999994</v>
      </c>
      <c r="E44" s="466">
        <f>E42-E43</f>
        <v>15.299999999999999</v>
      </c>
      <c r="F44" s="458">
        <v>60.7</v>
      </c>
      <c r="I44" s="434"/>
    </row>
    <row r="45" spans="1:9" ht="15.75">
      <c r="A45" s="310" t="s">
        <v>927</v>
      </c>
      <c r="B45" s="376" t="s">
        <v>928</v>
      </c>
      <c r="C45" s="310">
        <v>7.2</v>
      </c>
      <c r="D45" s="449">
        <v>13.5</v>
      </c>
      <c r="E45" s="459">
        <f>SUM(E47:E50)</f>
        <v>60</v>
      </c>
      <c r="F45" s="459">
        <f>SUM(F47:F50)</f>
        <v>60.7</v>
      </c>
      <c r="I45" s="434"/>
    </row>
    <row r="46" spans="1:9" ht="15.75">
      <c r="A46" s="313"/>
      <c r="B46" s="443" t="s">
        <v>893</v>
      </c>
      <c r="C46" s="313"/>
      <c r="D46" s="451"/>
      <c r="E46" s="452"/>
      <c r="F46" s="453"/>
      <c r="I46" s="434"/>
    </row>
    <row r="47" spans="1:9" ht="15.75">
      <c r="A47" s="313" t="s">
        <v>653</v>
      </c>
      <c r="B47" s="443" t="s">
        <v>929</v>
      </c>
      <c r="C47" s="313"/>
      <c r="D47" s="451"/>
      <c r="E47" s="452">
        <v>31.7</v>
      </c>
      <c r="F47" s="453">
        <v>51.7</v>
      </c>
      <c r="I47" s="434"/>
    </row>
    <row r="48" spans="1:9" ht="15.75">
      <c r="A48" s="346" t="s">
        <v>308</v>
      </c>
      <c r="B48" s="443" t="s">
        <v>930</v>
      </c>
      <c r="C48" s="313">
        <v>2.3</v>
      </c>
      <c r="D48" s="451">
        <v>0.5</v>
      </c>
      <c r="E48" s="452">
        <v>3.7</v>
      </c>
      <c r="F48" s="453">
        <v>3.7</v>
      </c>
      <c r="I48" s="434"/>
    </row>
    <row r="49" spans="1:9" ht="15.75">
      <c r="A49" s="313" t="s">
        <v>904</v>
      </c>
      <c r="B49" s="443" t="s">
        <v>931</v>
      </c>
      <c r="C49" s="313">
        <v>2.3</v>
      </c>
      <c r="D49" s="451">
        <v>0.5</v>
      </c>
      <c r="E49" s="452">
        <v>2.8</v>
      </c>
      <c r="F49" s="453">
        <v>2.8</v>
      </c>
      <c r="I49" s="434"/>
    </row>
    <row r="50" spans="1:9" ht="15.75">
      <c r="A50" s="335" t="s">
        <v>906</v>
      </c>
      <c r="B50" s="446" t="s">
        <v>932</v>
      </c>
      <c r="C50" s="379">
        <v>2.6</v>
      </c>
      <c r="D50" s="447">
        <v>12.5</v>
      </c>
      <c r="E50" s="448">
        <f>6.7+5.6+9.5</f>
        <v>21.8</v>
      </c>
      <c r="F50" s="436">
        <v>2.5</v>
      </c>
      <c r="I50" s="434"/>
    </row>
    <row r="51" spans="1:9" ht="15.75">
      <c r="A51" s="310" t="s">
        <v>933</v>
      </c>
      <c r="B51" s="376" t="s">
        <v>934</v>
      </c>
      <c r="C51" s="310"/>
      <c r="D51" s="449"/>
      <c r="E51" s="459"/>
      <c r="F51" s="460"/>
      <c r="I51" s="434"/>
    </row>
    <row r="52" spans="1:9" ht="15.75">
      <c r="A52" s="313" t="s">
        <v>653</v>
      </c>
      <c r="B52" s="468" t="s">
        <v>935</v>
      </c>
      <c r="C52" s="313">
        <v>4</v>
      </c>
      <c r="D52" s="451">
        <f>51.5-47.3</f>
        <v>4.200000000000003</v>
      </c>
      <c r="E52" s="452">
        <v>5.5</v>
      </c>
      <c r="F52" s="453">
        <f>56.6-51.5</f>
        <v>5.100000000000001</v>
      </c>
      <c r="I52" s="434"/>
    </row>
    <row r="53" spans="1:9" ht="15.75">
      <c r="A53" s="313" t="s">
        <v>308</v>
      </c>
      <c r="B53" s="443" t="s">
        <v>936</v>
      </c>
      <c r="C53" s="313"/>
      <c r="D53" s="451"/>
      <c r="E53" s="452"/>
      <c r="F53" s="453"/>
      <c r="I53" s="434"/>
    </row>
    <row r="54" spans="1:9" ht="15.75">
      <c r="A54" s="335"/>
      <c r="B54" s="446" t="s">
        <v>937</v>
      </c>
      <c r="C54" s="335"/>
      <c r="D54" s="454"/>
      <c r="E54" s="455"/>
      <c r="F54" s="456"/>
      <c r="I54" s="434"/>
    </row>
    <row r="55" spans="1:9" ht="15.75">
      <c r="A55" s="310" t="s">
        <v>938</v>
      </c>
      <c r="B55" s="376" t="s">
        <v>939</v>
      </c>
      <c r="C55" s="310"/>
      <c r="D55" s="449"/>
      <c r="E55" s="459"/>
      <c r="F55" s="469"/>
      <c r="I55" s="434"/>
    </row>
    <row r="56" spans="1:9" ht="15.75">
      <c r="A56" s="313" t="s">
        <v>653</v>
      </c>
      <c r="B56" s="468" t="s">
        <v>940</v>
      </c>
      <c r="C56" s="313"/>
      <c r="D56" s="451"/>
      <c r="E56" s="452">
        <v>6</v>
      </c>
      <c r="F56" s="453">
        <f>68.1-40.5</f>
        <v>27.599999999999994</v>
      </c>
      <c r="I56" s="434"/>
    </row>
    <row r="57" spans="1:9" ht="15.75">
      <c r="A57" s="313" t="s">
        <v>308</v>
      </c>
      <c r="B57" s="443" t="s">
        <v>941</v>
      </c>
      <c r="C57" s="313">
        <v>8</v>
      </c>
      <c r="D57" s="451">
        <f>47.7-40.5</f>
        <v>7.200000000000003</v>
      </c>
      <c r="E57" s="452"/>
      <c r="F57" s="453"/>
      <c r="I57" s="434"/>
    </row>
    <row r="58" spans="1:9" ht="15.75">
      <c r="A58" s="335"/>
      <c r="B58" s="446" t="s">
        <v>937</v>
      </c>
      <c r="C58" s="335"/>
      <c r="D58" s="454"/>
      <c r="E58" s="455"/>
      <c r="F58" s="456"/>
      <c r="I58" s="434"/>
    </row>
    <row r="59" spans="1:9" ht="15.75">
      <c r="A59" s="310" t="s">
        <v>942</v>
      </c>
      <c r="B59" s="376" t="s">
        <v>943</v>
      </c>
      <c r="C59" s="310">
        <v>48.5</v>
      </c>
      <c r="D59" s="449">
        <v>78.8</v>
      </c>
      <c r="E59" s="459"/>
      <c r="F59" s="460"/>
      <c r="I59" s="434"/>
    </row>
    <row r="60" spans="1:9" ht="15.75">
      <c r="A60" s="329"/>
      <c r="B60" s="443" t="s">
        <v>944</v>
      </c>
      <c r="C60" s="313"/>
      <c r="D60" s="451"/>
      <c r="E60" s="452"/>
      <c r="F60" s="453"/>
      <c r="I60" s="434"/>
    </row>
    <row r="61" spans="1:9" ht="15.75">
      <c r="A61" s="313" t="s">
        <v>653</v>
      </c>
      <c r="B61" s="443" t="s">
        <v>945</v>
      </c>
      <c r="C61" s="313"/>
      <c r="D61" s="451">
        <v>6.2</v>
      </c>
      <c r="E61" s="452"/>
      <c r="F61" s="453"/>
      <c r="I61" s="434"/>
    </row>
    <row r="62" spans="1:9" ht="15.75">
      <c r="A62" s="313" t="s">
        <v>199</v>
      </c>
      <c r="B62" s="443" t="s">
        <v>946</v>
      </c>
      <c r="C62" s="329"/>
      <c r="D62" s="444"/>
      <c r="E62" s="445"/>
      <c r="F62" s="453"/>
      <c r="I62" s="434"/>
    </row>
    <row r="63" spans="1:9" ht="15.75">
      <c r="A63" s="335" t="s">
        <v>308</v>
      </c>
      <c r="B63" s="446" t="s">
        <v>947</v>
      </c>
      <c r="C63" s="379">
        <v>48.5</v>
      </c>
      <c r="D63" s="447">
        <v>72.6</v>
      </c>
      <c r="E63" s="448"/>
      <c r="F63" s="456"/>
      <c r="I63" s="434"/>
    </row>
    <row r="64" spans="1:9" ht="15.75">
      <c r="A64" s="310" t="s">
        <v>948</v>
      </c>
      <c r="B64" s="376" t="s">
        <v>949</v>
      </c>
      <c r="C64" s="388">
        <v>48</v>
      </c>
      <c r="D64" s="470">
        <v>76</v>
      </c>
      <c r="E64" s="471"/>
      <c r="F64" s="472"/>
      <c r="I64" s="434"/>
    </row>
    <row r="65" spans="1:9" ht="15.75">
      <c r="A65" s="329"/>
      <c r="B65" s="443" t="s">
        <v>950</v>
      </c>
      <c r="C65" s="313"/>
      <c r="D65" s="451"/>
      <c r="E65" s="452"/>
      <c r="F65" s="453"/>
      <c r="I65" s="434"/>
    </row>
    <row r="66" spans="1:9" ht="15.75">
      <c r="A66" s="313" t="s">
        <v>653</v>
      </c>
      <c r="B66" s="443" t="s">
        <v>951</v>
      </c>
      <c r="C66" s="329"/>
      <c r="D66" s="444">
        <v>6.2</v>
      </c>
      <c r="E66" s="445"/>
      <c r="F66" s="306"/>
      <c r="I66" s="434"/>
    </row>
    <row r="67" spans="1:9" ht="15.75">
      <c r="A67" s="313" t="s">
        <v>199</v>
      </c>
      <c r="B67" s="443" t="s">
        <v>946</v>
      </c>
      <c r="C67" s="329"/>
      <c r="D67" s="444"/>
      <c r="E67" s="445"/>
      <c r="F67" s="473"/>
      <c r="I67" s="434"/>
    </row>
    <row r="68" spans="1:9" ht="15.75">
      <c r="A68" s="335" t="s">
        <v>308</v>
      </c>
      <c r="B68" s="446" t="s">
        <v>947</v>
      </c>
      <c r="C68" s="379">
        <v>48</v>
      </c>
      <c r="D68" s="447">
        <v>69.8</v>
      </c>
      <c r="E68" s="448"/>
      <c r="F68" s="474"/>
      <c r="I68" s="434"/>
    </row>
    <row r="69" spans="1:9" ht="15.75">
      <c r="A69" s="343" t="s">
        <v>952</v>
      </c>
      <c r="B69" s="373" t="s">
        <v>953</v>
      </c>
      <c r="C69" s="343"/>
      <c r="D69" s="457"/>
      <c r="E69" s="466"/>
      <c r="F69" s="467"/>
      <c r="I69" s="434"/>
    </row>
    <row r="70" spans="1:9" ht="15.75">
      <c r="A70" s="326" t="s">
        <v>954</v>
      </c>
      <c r="B70" s="475" t="s">
        <v>955</v>
      </c>
      <c r="C70" s="326"/>
      <c r="D70" s="476"/>
      <c r="E70" s="477"/>
      <c r="F70" s="478"/>
      <c r="I70" s="434"/>
    </row>
    <row r="71" spans="1:6" ht="15.75">
      <c r="A71" s="313" t="s">
        <v>653</v>
      </c>
      <c r="B71" s="443" t="s">
        <v>956</v>
      </c>
      <c r="C71" s="313"/>
      <c r="D71" s="451"/>
      <c r="E71" s="452"/>
      <c r="F71" s="453"/>
    </row>
    <row r="72" spans="1:6" ht="15.75">
      <c r="A72" s="335" t="s">
        <v>308</v>
      </c>
      <c r="B72" s="446" t="s">
        <v>957</v>
      </c>
      <c r="C72" s="335"/>
      <c r="D72" s="454"/>
      <c r="E72" s="455"/>
      <c r="F72" s="454"/>
    </row>
    <row r="73" spans="1:6" ht="15.75">
      <c r="A73" s="343" t="s">
        <v>958</v>
      </c>
      <c r="B73" s="373" t="s">
        <v>959</v>
      </c>
      <c r="C73" s="479"/>
      <c r="D73" s="480"/>
      <c r="E73" s="481"/>
      <c r="F73" s="480"/>
    </row>
    <row r="74" spans="1:6" ht="15.75">
      <c r="A74" s="310" t="s">
        <v>960</v>
      </c>
      <c r="B74" s="376" t="s">
        <v>961</v>
      </c>
      <c r="C74" s="310">
        <v>72.8</v>
      </c>
      <c r="D74" s="449">
        <v>64.5</v>
      </c>
      <c r="E74" s="459">
        <v>32.1</v>
      </c>
      <c r="F74" s="449">
        <f>58.1+32.3</f>
        <v>90.4</v>
      </c>
    </row>
    <row r="75" spans="1:6" ht="15.75">
      <c r="A75" s="379"/>
      <c r="B75" s="446" t="s">
        <v>946</v>
      </c>
      <c r="C75" s="379"/>
      <c r="D75" s="447"/>
      <c r="E75" s="448"/>
      <c r="F75" s="454"/>
    </row>
    <row r="76" spans="1:6" ht="47.25">
      <c r="A76" s="343" t="s">
        <v>960</v>
      </c>
      <c r="B76" s="373" t="s">
        <v>962</v>
      </c>
      <c r="C76" s="479">
        <v>469.2</v>
      </c>
      <c r="D76" s="480">
        <v>515.2</v>
      </c>
      <c r="E76" s="481">
        <f>E14+E35+E53+E56+E59+E69+E72+E73</f>
        <v>400.64</v>
      </c>
      <c r="F76" s="481">
        <f>F14+F35+F53+F56+F59+F69+F72+F73</f>
        <v>508.41600000000005</v>
      </c>
    </row>
    <row r="77" spans="1:6" ht="47.25">
      <c r="A77" s="310" t="s">
        <v>963</v>
      </c>
      <c r="B77" s="376" t="s">
        <v>964</v>
      </c>
      <c r="C77" s="388">
        <v>461.6</v>
      </c>
      <c r="D77" s="470">
        <v>511.1</v>
      </c>
      <c r="E77" s="471">
        <f>E19-E26+E39+E52+E57+E43+E69+E64+E74</f>
        <v>372.76300000000003</v>
      </c>
      <c r="F77" s="471">
        <f>F19-F26+F39+F52+F57+F43+F69+F64+F74</f>
        <v>483.18600000000004</v>
      </c>
    </row>
    <row r="78" spans="1:6" ht="31.5">
      <c r="A78" s="367"/>
      <c r="B78" s="482" t="s">
        <v>965</v>
      </c>
      <c r="C78" s="367">
        <v>7.6</v>
      </c>
      <c r="D78" s="483">
        <v>4.1</v>
      </c>
      <c r="E78" s="483">
        <f>E76-E77</f>
        <v>27.876999999999953</v>
      </c>
      <c r="F78" s="483">
        <f>F76-F77</f>
        <v>25.230000000000018</v>
      </c>
    </row>
    <row r="79" spans="1:6" ht="15.75">
      <c r="A79" s="484"/>
      <c r="B79" s="485"/>
      <c r="C79" s="486"/>
      <c r="D79" s="486"/>
      <c r="E79" s="486"/>
      <c r="F79" s="487"/>
    </row>
    <row r="80" spans="1:6" ht="15.75">
      <c r="A80" s="488"/>
      <c r="B80" s="475" t="s">
        <v>313</v>
      </c>
      <c r="C80" s="488"/>
      <c r="D80" s="489"/>
      <c r="E80" s="490"/>
      <c r="F80" s="489"/>
    </row>
    <row r="81" spans="1:6" ht="15.75">
      <c r="A81" s="313" t="s">
        <v>653</v>
      </c>
      <c r="B81" s="443" t="s">
        <v>768</v>
      </c>
      <c r="C81" s="313">
        <v>114.1</v>
      </c>
      <c r="D81" s="451">
        <v>106.4</v>
      </c>
      <c r="E81" s="452">
        <f>D33+D26</f>
        <v>106.4</v>
      </c>
      <c r="F81" s="452">
        <f>F33+F26</f>
        <v>114.71399999999998</v>
      </c>
    </row>
    <row r="83" spans="1:4" ht="15.75">
      <c r="A83" s="1" t="s">
        <v>1060</v>
      </c>
      <c r="B83" s="393"/>
      <c r="C83" s="393"/>
      <c r="D83" s="393"/>
    </row>
  </sheetData>
  <sheetProtection selectLockedCells="1" selectUnlockedCells="1"/>
  <mergeCells count="5">
    <mergeCell ref="A1:F1"/>
    <mergeCell ref="A11:A12"/>
    <mergeCell ref="B11:B12"/>
    <mergeCell ref="C11:D11"/>
    <mergeCell ref="E11:F11"/>
  </mergeCells>
  <printOptions/>
  <pageMargins left="0.9881944444444445" right="0.39791666666666664" top="0.4097222222222222" bottom="0.4097222222222222" header="0.5118055555555555" footer="0.5118055555555555"/>
  <pageSetup horizontalDpi="300" verticalDpi="300" orientation="portrait" paperSize="9" scale="72" r:id="rId1"/>
  <rowBreaks count="1" manualBreakCount="1">
    <brk id="5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M64"/>
  <sheetViews>
    <sheetView zoomScale="75" zoomScaleNormal="75" zoomScaleSheetLayoutView="80" zoomScalePageLayoutView="0" workbookViewId="0" topLeftCell="A19">
      <selection activeCell="N35" sqref="N35"/>
    </sheetView>
  </sheetViews>
  <sheetFormatPr defaultColWidth="8.796875" defaultRowHeight="15"/>
  <cols>
    <col min="2" max="2" width="37.19921875" style="1" customWidth="1"/>
    <col min="3" max="3" width="13.3984375" style="1" customWidth="1"/>
    <col min="4" max="5" width="10.8984375" style="1" customWidth="1"/>
    <col min="6" max="7" width="20.69921875" style="491" customWidth="1"/>
    <col min="8" max="8" width="14.3984375" style="1" customWidth="1"/>
    <col min="9" max="9" width="12.19921875" style="1" customWidth="1"/>
    <col min="10" max="10" width="6.19921875" style="1" customWidth="1"/>
    <col min="11" max="12" width="14.3984375" style="1" customWidth="1"/>
    <col min="13" max="13" width="37.5" style="1" customWidth="1"/>
  </cols>
  <sheetData>
    <row r="2" ht="15.75">
      <c r="M2" s="112" t="s">
        <v>1061</v>
      </c>
    </row>
    <row r="3" ht="15.75">
      <c r="M3" s="112" t="s">
        <v>629</v>
      </c>
    </row>
    <row r="4" ht="15.75">
      <c r="M4" s="112" t="s">
        <v>630</v>
      </c>
    </row>
    <row r="5" ht="15.75">
      <c r="M5" s="112"/>
    </row>
    <row r="6" ht="15.75">
      <c r="A6" s="113"/>
    </row>
    <row r="7" spans="1:13" ht="33" customHeight="1">
      <c r="A7" s="712" t="s">
        <v>229</v>
      </c>
      <c r="B7" s="712"/>
      <c r="C7" s="712"/>
      <c r="D7" s="712"/>
      <c r="E7" s="712"/>
      <c r="F7" s="712"/>
      <c r="G7" s="712"/>
      <c r="H7" s="712"/>
      <c r="I7" s="712"/>
      <c r="J7" s="712"/>
      <c r="K7" s="712"/>
      <c r="L7" s="712"/>
      <c r="M7" s="712"/>
    </row>
    <row r="9" ht="15.75">
      <c r="M9" s="112" t="s">
        <v>256</v>
      </c>
    </row>
    <row r="10" ht="15.75">
      <c r="M10" s="112" t="s">
        <v>631</v>
      </c>
    </row>
    <row r="11" ht="15.75">
      <c r="M11" s="112"/>
    </row>
    <row r="12" ht="15.75">
      <c r="M12" s="115" t="s">
        <v>259</v>
      </c>
    </row>
    <row r="13" spans="1:13" ht="15.75">
      <c r="A13" s="113"/>
      <c r="M13" s="112" t="s">
        <v>260</v>
      </c>
    </row>
    <row r="14" spans="1:13" ht="15.75">
      <c r="A14" s="113"/>
      <c r="M14" s="112" t="s">
        <v>261</v>
      </c>
    </row>
    <row r="15" spans="1:13" ht="15.75">
      <c r="A15" s="113"/>
      <c r="M15" s="112"/>
    </row>
    <row r="16" spans="1:13" ht="41.25" customHeight="1">
      <c r="A16" s="722" t="s">
        <v>262</v>
      </c>
      <c r="B16" s="673" t="s">
        <v>263</v>
      </c>
      <c r="C16" s="673" t="s">
        <v>1062</v>
      </c>
      <c r="D16" s="673" t="s">
        <v>633</v>
      </c>
      <c r="E16" s="673"/>
      <c r="F16" s="673" t="s">
        <v>1063</v>
      </c>
      <c r="G16" s="673" t="s">
        <v>1064</v>
      </c>
      <c r="H16" s="673" t="s">
        <v>1065</v>
      </c>
      <c r="I16" s="673" t="s">
        <v>1066</v>
      </c>
      <c r="J16" s="673"/>
      <c r="K16" s="673"/>
      <c r="L16" s="673"/>
      <c r="M16" s="723" t="s">
        <v>1067</v>
      </c>
    </row>
    <row r="17" spans="1:13" ht="41.25" customHeight="1">
      <c r="A17" s="722"/>
      <c r="B17" s="673"/>
      <c r="C17" s="673"/>
      <c r="D17" s="673"/>
      <c r="E17" s="673"/>
      <c r="F17" s="673"/>
      <c r="G17" s="673"/>
      <c r="H17" s="673"/>
      <c r="I17" s="685" t="s">
        <v>278</v>
      </c>
      <c r="J17" s="685" t="s">
        <v>643</v>
      </c>
      <c r="K17" s="685" t="s">
        <v>644</v>
      </c>
      <c r="L17" s="685"/>
      <c r="M17" s="723"/>
    </row>
    <row r="18" spans="1:13" ht="89.25" customHeight="1">
      <c r="A18" s="722"/>
      <c r="B18" s="673"/>
      <c r="C18" s="673"/>
      <c r="D18" s="32" t="s">
        <v>1068</v>
      </c>
      <c r="E18" s="32" t="s">
        <v>1069</v>
      </c>
      <c r="F18" s="673"/>
      <c r="G18" s="673"/>
      <c r="H18" s="673"/>
      <c r="I18" s="685"/>
      <c r="J18" s="685"/>
      <c r="K18" s="32" t="s">
        <v>649</v>
      </c>
      <c r="L18" s="32" t="s">
        <v>650</v>
      </c>
      <c r="M18" s="723"/>
    </row>
    <row r="19" spans="1:13" ht="15.75">
      <c r="A19" s="125"/>
      <c r="B19" s="30" t="s">
        <v>279</v>
      </c>
      <c r="C19" s="30"/>
      <c r="D19" s="30"/>
      <c r="E19" s="33"/>
      <c r="F19" s="33"/>
      <c r="G19" s="33"/>
      <c r="H19" s="33"/>
      <c r="I19" s="33"/>
      <c r="J19" s="33"/>
      <c r="K19" s="33"/>
      <c r="L19" s="33"/>
      <c r="M19" s="127"/>
    </row>
    <row r="20" spans="1:13" ht="31.5">
      <c r="A20" s="125" t="s">
        <v>653</v>
      </c>
      <c r="B20" s="30" t="s">
        <v>280</v>
      </c>
      <c r="C20" s="30"/>
      <c r="D20" s="30"/>
      <c r="E20" s="30"/>
      <c r="F20" s="33"/>
      <c r="G20" s="33"/>
      <c r="H20" s="33"/>
      <c r="I20" s="33"/>
      <c r="J20" s="33"/>
      <c r="K20" s="33"/>
      <c r="L20" s="33"/>
      <c r="M20" s="127"/>
    </row>
    <row r="21" spans="1:13" ht="31.5">
      <c r="A21" s="128" t="s">
        <v>199</v>
      </c>
      <c r="B21" s="30" t="s">
        <v>281</v>
      </c>
      <c r="C21" s="30"/>
      <c r="D21" s="30"/>
      <c r="E21" s="30"/>
      <c r="F21" s="33"/>
      <c r="G21" s="33"/>
      <c r="H21" s="33"/>
      <c r="I21" s="33"/>
      <c r="J21" s="33"/>
      <c r="K21" s="33"/>
      <c r="L21" s="33"/>
      <c r="M21" s="127"/>
    </row>
    <row r="22" spans="1:13" ht="15.75">
      <c r="A22" s="129">
        <v>1</v>
      </c>
      <c r="B22" s="39" t="s">
        <v>615</v>
      </c>
      <c r="C22" s="39"/>
      <c r="D22" s="39"/>
      <c r="E22" s="39"/>
      <c r="F22" s="33"/>
      <c r="G22" s="33"/>
      <c r="H22" s="33"/>
      <c r="I22" s="33"/>
      <c r="J22" s="33"/>
      <c r="K22" s="33"/>
      <c r="L22" s="33"/>
      <c r="M22" s="127"/>
    </row>
    <row r="23" spans="1:13" ht="15.75">
      <c r="A23" s="129">
        <v>2</v>
      </c>
      <c r="B23" s="39" t="s">
        <v>616</v>
      </c>
      <c r="C23" s="39"/>
      <c r="D23" s="39"/>
      <c r="E23" s="39"/>
      <c r="F23" s="33"/>
      <c r="G23" s="33"/>
      <c r="H23" s="33"/>
      <c r="I23" s="33"/>
      <c r="J23" s="33"/>
      <c r="K23" s="33"/>
      <c r="L23" s="33"/>
      <c r="M23" s="127"/>
    </row>
    <row r="24" spans="1:13" ht="15.75">
      <c r="A24" s="129" t="s">
        <v>617</v>
      </c>
      <c r="B24" s="39"/>
      <c r="C24" s="39"/>
      <c r="D24" s="39"/>
      <c r="E24" s="39"/>
      <c r="F24" s="33"/>
      <c r="G24" s="33"/>
      <c r="H24" s="33"/>
      <c r="I24" s="33"/>
      <c r="J24" s="33"/>
      <c r="K24" s="33"/>
      <c r="L24" s="33"/>
      <c r="M24" s="127"/>
    </row>
    <row r="25" spans="1:13" ht="31.5">
      <c r="A25" s="125" t="s">
        <v>201</v>
      </c>
      <c r="B25" s="30" t="s">
        <v>294</v>
      </c>
      <c r="C25" s="30"/>
      <c r="D25" s="39"/>
      <c r="E25" s="39"/>
      <c r="F25" s="33"/>
      <c r="G25" s="33"/>
      <c r="H25" s="33"/>
      <c r="I25" s="33"/>
      <c r="J25" s="33"/>
      <c r="K25" s="33"/>
      <c r="L25" s="33"/>
      <c r="M25" s="127"/>
    </row>
    <row r="26" spans="1:13" ht="15.75">
      <c r="A26" s="129">
        <v>1</v>
      </c>
      <c r="B26" s="39" t="s">
        <v>615</v>
      </c>
      <c r="C26" s="39"/>
      <c r="D26" s="39"/>
      <c r="E26" s="39"/>
      <c r="F26" s="33"/>
      <c r="G26" s="33"/>
      <c r="H26" s="33"/>
      <c r="I26" s="33"/>
      <c r="J26" s="33"/>
      <c r="K26" s="33"/>
      <c r="L26" s="33"/>
      <c r="M26" s="127"/>
    </row>
    <row r="27" spans="1:13" ht="15.75">
      <c r="A27" s="129">
        <v>2</v>
      </c>
      <c r="B27" s="39" t="s">
        <v>616</v>
      </c>
      <c r="C27" s="39"/>
      <c r="D27" s="39"/>
      <c r="E27" s="39"/>
      <c r="F27" s="33"/>
      <c r="G27" s="33"/>
      <c r="H27" s="33"/>
      <c r="I27" s="33"/>
      <c r="J27" s="33"/>
      <c r="K27" s="33"/>
      <c r="L27" s="33"/>
      <c r="M27" s="127"/>
    </row>
    <row r="28" spans="1:13" ht="15.75">
      <c r="A28" s="129" t="s">
        <v>617</v>
      </c>
      <c r="B28" s="39"/>
      <c r="C28" s="39"/>
      <c r="D28" s="39"/>
      <c r="E28" s="39"/>
      <c r="F28" s="33"/>
      <c r="G28" s="33"/>
      <c r="H28" s="33"/>
      <c r="I28" s="33"/>
      <c r="J28" s="33"/>
      <c r="K28" s="33"/>
      <c r="L28" s="33"/>
      <c r="M28" s="127"/>
    </row>
    <row r="29" spans="1:13" ht="31.5">
      <c r="A29" s="125" t="s">
        <v>204</v>
      </c>
      <c r="B29" s="30" t="s">
        <v>299</v>
      </c>
      <c r="C29" s="30"/>
      <c r="D29" s="39"/>
      <c r="E29" s="39"/>
      <c r="F29" s="33"/>
      <c r="G29" s="33"/>
      <c r="H29" s="33"/>
      <c r="I29" s="33"/>
      <c r="J29" s="33"/>
      <c r="K29" s="33"/>
      <c r="L29" s="33"/>
      <c r="M29" s="127"/>
    </row>
    <row r="30" spans="1:13" ht="15.75">
      <c r="A30" s="129">
        <v>1</v>
      </c>
      <c r="B30" s="39" t="s">
        <v>615</v>
      </c>
      <c r="C30" s="39"/>
      <c r="D30" s="39"/>
      <c r="E30" s="39"/>
      <c r="F30" s="33"/>
      <c r="G30" s="33"/>
      <c r="H30" s="33"/>
      <c r="I30" s="33"/>
      <c r="J30" s="33"/>
      <c r="K30" s="33"/>
      <c r="L30" s="33"/>
      <c r="M30" s="127"/>
    </row>
    <row r="31" spans="1:13" ht="15.75">
      <c r="A31" s="129">
        <v>2</v>
      </c>
      <c r="B31" s="39" t="s">
        <v>616</v>
      </c>
      <c r="C31" s="39"/>
      <c r="D31" s="39"/>
      <c r="E31" s="39"/>
      <c r="F31" s="33"/>
      <c r="G31" s="33"/>
      <c r="H31" s="33"/>
      <c r="I31" s="33"/>
      <c r="J31" s="33"/>
      <c r="K31" s="33"/>
      <c r="L31" s="33"/>
      <c r="M31" s="127"/>
    </row>
    <row r="32" spans="1:13" ht="15.75">
      <c r="A32" s="129" t="s">
        <v>617</v>
      </c>
      <c r="B32" s="39"/>
      <c r="C32" s="39"/>
      <c r="D32" s="39"/>
      <c r="E32" s="39"/>
      <c r="F32" s="33"/>
      <c r="G32" s="33"/>
      <c r="H32" s="33"/>
      <c r="I32" s="33"/>
      <c r="J32" s="33"/>
      <c r="K32" s="33"/>
      <c r="L32" s="33"/>
      <c r="M32" s="127"/>
    </row>
    <row r="33" spans="1:13" ht="47.25">
      <c r="A33" s="125" t="s">
        <v>206</v>
      </c>
      <c r="B33" s="30" t="s">
        <v>307</v>
      </c>
      <c r="C33" s="39"/>
      <c r="D33" s="39"/>
      <c r="E33" s="39"/>
      <c r="F33" s="33"/>
      <c r="G33" s="33"/>
      <c r="H33" s="33"/>
      <c r="I33" s="33"/>
      <c r="J33" s="33"/>
      <c r="K33" s="33"/>
      <c r="L33" s="33"/>
      <c r="M33" s="127"/>
    </row>
    <row r="34" spans="1:13" ht="15.75">
      <c r="A34" s="129">
        <v>1</v>
      </c>
      <c r="B34" s="39" t="s">
        <v>615</v>
      </c>
      <c r="C34" s="39"/>
      <c r="D34" s="39"/>
      <c r="E34" s="39"/>
      <c r="F34" s="33"/>
      <c r="G34" s="33"/>
      <c r="H34" s="33"/>
      <c r="I34" s="33"/>
      <c r="J34" s="33"/>
      <c r="K34" s="33"/>
      <c r="L34" s="33"/>
      <c r="M34" s="127"/>
    </row>
    <row r="35" spans="1:13" ht="15.75">
      <c r="A35" s="129">
        <v>2</v>
      </c>
      <c r="B35" s="39" t="s">
        <v>616</v>
      </c>
      <c r="C35" s="39"/>
      <c r="D35" s="39"/>
      <c r="E35" s="39"/>
      <c r="F35" s="33"/>
      <c r="G35" s="33"/>
      <c r="H35" s="33"/>
      <c r="I35" s="33"/>
      <c r="J35" s="33"/>
      <c r="K35" s="33"/>
      <c r="L35" s="33"/>
      <c r="M35" s="127"/>
    </row>
    <row r="36" spans="1:13" ht="15.75">
      <c r="A36" s="129" t="s">
        <v>617</v>
      </c>
      <c r="B36" s="39"/>
      <c r="C36" s="39"/>
      <c r="D36" s="39"/>
      <c r="E36" s="39"/>
      <c r="F36" s="33"/>
      <c r="G36" s="33"/>
      <c r="H36" s="33"/>
      <c r="I36" s="33"/>
      <c r="J36" s="33"/>
      <c r="K36" s="33"/>
      <c r="L36" s="33"/>
      <c r="M36" s="127"/>
    </row>
    <row r="37" spans="1:13" ht="15.75">
      <c r="A37" s="125" t="s">
        <v>308</v>
      </c>
      <c r="B37" s="30" t="s">
        <v>309</v>
      </c>
      <c r="C37" s="30"/>
      <c r="D37" s="30"/>
      <c r="E37" s="30"/>
      <c r="F37" s="33"/>
      <c r="G37" s="33"/>
      <c r="H37" s="33"/>
      <c r="I37" s="33"/>
      <c r="J37" s="33"/>
      <c r="K37" s="33"/>
      <c r="L37" s="33"/>
      <c r="M37" s="127"/>
    </row>
    <row r="38" spans="1:13" ht="31.5">
      <c r="A38" s="128" t="s">
        <v>209</v>
      </c>
      <c r="B38" s="30" t="s">
        <v>281</v>
      </c>
      <c r="C38" s="30"/>
      <c r="D38" s="30"/>
      <c r="E38" s="30"/>
      <c r="F38" s="33"/>
      <c r="G38" s="33"/>
      <c r="H38" s="33"/>
      <c r="I38" s="33"/>
      <c r="J38" s="33"/>
      <c r="K38" s="33"/>
      <c r="L38" s="33"/>
      <c r="M38" s="127"/>
    </row>
    <row r="39" spans="1:13" ht="15.75">
      <c r="A39" s="129">
        <v>1</v>
      </c>
      <c r="B39" s="39" t="s">
        <v>615</v>
      </c>
      <c r="C39" s="30"/>
      <c r="D39" s="30"/>
      <c r="E39" s="30"/>
      <c r="F39" s="33"/>
      <c r="G39" s="33"/>
      <c r="H39" s="33"/>
      <c r="I39" s="33"/>
      <c r="J39" s="33"/>
      <c r="K39" s="33"/>
      <c r="L39" s="33"/>
      <c r="M39" s="127"/>
    </row>
    <row r="40" spans="1:13" ht="15.75">
      <c r="A40" s="129">
        <v>2</v>
      </c>
      <c r="B40" s="39" t="s">
        <v>616</v>
      </c>
      <c r="C40" s="30"/>
      <c r="D40" s="30"/>
      <c r="E40" s="30"/>
      <c r="F40" s="33"/>
      <c r="G40" s="33"/>
      <c r="H40" s="33"/>
      <c r="I40" s="33"/>
      <c r="J40" s="33"/>
      <c r="K40" s="33"/>
      <c r="L40" s="33"/>
      <c r="M40" s="127"/>
    </row>
    <row r="41" spans="1:13" ht="15.75">
      <c r="A41" s="129" t="s">
        <v>617</v>
      </c>
      <c r="B41" s="39"/>
      <c r="C41" s="30"/>
      <c r="D41" s="30"/>
      <c r="E41" s="30"/>
      <c r="F41" s="33"/>
      <c r="G41" s="33"/>
      <c r="H41" s="33"/>
      <c r="I41" s="33"/>
      <c r="J41" s="33"/>
      <c r="K41" s="33"/>
      <c r="L41" s="33"/>
      <c r="M41" s="127"/>
    </row>
    <row r="42" spans="1:13" ht="15.75">
      <c r="A42" s="128" t="s">
        <v>211</v>
      </c>
      <c r="B42" s="35" t="s">
        <v>312</v>
      </c>
      <c r="C42" s="30"/>
      <c r="D42" s="30"/>
      <c r="E42" s="30"/>
      <c r="F42" s="33"/>
      <c r="G42" s="33"/>
      <c r="H42" s="33"/>
      <c r="I42" s="33"/>
      <c r="J42" s="33"/>
      <c r="K42" s="33"/>
      <c r="L42" s="33"/>
      <c r="M42" s="127"/>
    </row>
    <row r="43" spans="1:13" ht="15.75">
      <c r="A43" s="129">
        <v>1</v>
      </c>
      <c r="B43" s="39" t="s">
        <v>615</v>
      </c>
      <c r="C43" s="30"/>
      <c r="D43" s="30"/>
      <c r="E43" s="30"/>
      <c r="F43" s="33"/>
      <c r="G43" s="33"/>
      <c r="H43" s="33"/>
      <c r="I43" s="33"/>
      <c r="J43" s="33"/>
      <c r="K43" s="33"/>
      <c r="L43" s="33"/>
      <c r="M43" s="127"/>
    </row>
    <row r="44" spans="1:13" ht="15.75">
      <c r="A44" s="129"/>
      <c r="B44" s="39" t="s">
        <v>654</v>
      </c>
      <c r="C44" s="30"/>
      <c r="D44" s="30"/>
      <c r="E44" s="30"/>
      <c r="F44" s="33"/>
      <c r="G44" s="33"/>
      <c r="H44" s="33"/>
      <c r="I44" s="33"/>
      <c r="J44" s="33"/>
      <c r="K44" s="33"/>
      <c r="L44" s="33"/>
      <c r="M44" s="127"/>
    </row>
    <row r="45" spans="1:13" ht="15.75">
      <c r="A45" s="129">
        <v>2</v>
      </c>
      <c r="B45" s="39" t="s">
        <v>616</v>
      </c>
      <c r="C45" s="30"/>
      <c r="D45" s="30"/>
      <c r="E45" s="30"/>
      <c r="F45" s="33"/>
      <c r="G45" s="33"/>
      <c r="H45" s="33"/>
      <c r="I45" s="33"/>
      <c r="J45" s="33"/>
      <c r="K45" s="33"/>
      <c r="L45" s="33"/>
      <c r="M45" s="127"/>
    </row>
    <row r="46" spans="1:13" ht="15.75">
      <c r="A46" s="129"/>
      <c r="B46" s="39" t="s">
        <v>654</v>
      </c>
      <c r="C46" s="39"/>
      <c r="D46" s="39"/>
      <c r="E46" s="39"/>
      <c r="F46" s="33"/>
      <c r="G46" s="33"/>
      <c r="H46" s="33"/>
      <c r="I46" s="33"/>
      <c r="J46" s="33"/>
      <c r="K46" s="33"/>
      <c r="L46" s="33"/>
      <c r="M46" s="127"/>
    </row>
    <row r="47" spans="1:13" ht="15.75">
      <c r="A47" s="129" t="s">
        <v>617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127"/>
    </row>
    <row r="48" spans="1:13" ht="15.75" customHeight="1">
      <c r="A48" s="687" t="s">
        <v>313</v>
      </c>
      <c r="B48" s="687"/>
      <c r="C48" s="39"/>
      <c r="D48" s="39"/>
      <c r="E48" s="39"/>
      <c r="F48" s="33"/>
      <c r="G48" s="33"/>
      <c r="H48" s="33"/>
      <c r="I48" s="33"/>
      <c r="J48" s="33"/>
      <c r="K48" s="33"/>
      <c r="L48" s="33"/>
      <c r="M48" s="127"/>
    </row>
    <row r="49" spans="1:13" ht="31.5">
      <c r="A49" s="125"/>
      <c r="B49" s="30" t="s">
        <v>314</v>
      </c>
      <c r="C49" s="30"/>
      <c r="D49" s="39"/>
      <c r="E49" s="39"/>
      <c r="F49" s="33"/>
      <c r="G49" s="33"/>
      <c r="H49" s="33"/>
      <c r="I49" s="33"/>
      <c r="J49" s="33"/>
      <c r="K49" s="33"/>
      <c r="L49" s="33"/>
      <c r="M49" s="127"/>
    </row>
    <row r="50" spans="1:13" ht="15.75">
      <c r="A50" s="129">
        <v>1</v>
      </c>
      <c r="B50" s="39" t="s">
        <v>615</v>
      </c>
      <c r="C50" s="39"/>
      <c r="D50" s="39"/>
      <c r="E50" s="39"/>
      <c r="F50" s="33"/>
      <c r="G50" s="33"/>
      <c r="H50" s="33"/>
      <c r="I50" s="33"/>
      <c r="J50" s="33"/>
      <c r="K50" s="33"/>
      <c r="L50" s="33"/>
      <c r="M50" s="127"/>
    </row>
    <row r="51" spans="1:13" ht="15.75">
      <c r="A51" s="129">
        <v>2</v>
      </c>
      <c r="B51" s="39" t="s">
        <v>616</v>
      </c>
      <c r="C51" s="39"/>
      <c r="D51" s="39"/>
      <c r="E51" s="39"/>
      <c r="F51" s="33"/>
      <c r="G51" s="33"/>
      <c r="H51" s="33"/>
      <c r="I51" s="33"/>
      <c r="J51" s="33"/>
      <c r="K51" s="33"/>
      <c r="L51" s="33"/>
      <c r="M51" s="127"/>
    </row>
    <row r="52" spans="1:13" ht="15.75">
      <c r="A52" s="139" t="s">
        <v>617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2"/>
    </row>
    <row r="53" spans="1:13" ht="15.75">
      <c r="A53" s="143"/>
      <c r="B53" s="143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ht="15.75">
      <c r="A54" s="143"/>
      <c r="B54" s="144" t="s">
        <v>1070</v>
      </c>
      <c r="C54" s="98"/>
      <c r="D54" s="143"/>
      <c r="E54" s="143"/>
      <c r="F54" s="143"/>
      <c r="G54" s="143"/>
      <c r="H54" s="143"/>
      <c r="I54" s="143"/>
      <c r="J54" s="143"/>
      <c r="K54" s="143"/>
      <c r="L54" s="143"/>
      <c r="M54" s="143"/>
    </row>
    <row r="55" spans="1:13" ht="15.75" customHeight="1">
      <c r="A55" s="143"/>
      <c r="B55" s="688" t="s">
        <v>1071</v>
      </c>
      <c r="C55" s="688"/>
      <c r="D55" s="688"/>
      <c r="E55" s="688"/>
      <c r="F55" s="143"/>
      <c r="G55" s="143"/>
      <c r="H55" s="143"/>
      <c r="I55" s="143"/>
      <c r="J55" s="143"/>
      <c r="K55" s="143"/>
      <c r="L55" s="143"/>
      <c r="M55" s="143"/>
    </row>
    <row r="56" spans="1:13" ht="15.75">
      <c r="A56" s="47"/>
      <c r="B56" s="1" t="s">
        <v>1072</v>
      </c>
      <c r="F56" s="47"/>
      <c r="G56" s="47"/>
      <c r="H56" s="47"/>
      <c r="I56" s="47"/>
      <c r="J56" s="47"/>
      <c r="K56" s="47"/>
      <c r="L56" s="47"/>
      <c r="M56" s="47"/>
    </row>
    <row r="57" spans="1:13" ht="15.75">
      <c r="A57" s="47"/>
      <c r="F57" s="47"/>
      <c r="G57" s="47"/>
      <c r="H57" s="47"/>
      <c r="I57" s="47"/>
      <c r="J57" s="47"/>
      <c r="K57" s="47"/>
      <c r="L57" s="47"/>
      <c r="M57" s="47"/>
    </row>
    <row r="58" spans="1:13" ht="15.75" customHeight="1">
      <c r="A58" s="47"/>
      <c r="B58" s="689" t="s">
        <v>319</v>
      </c>
      <c r="C58" s="689"/>
      <c r="D58" s="689"/>
      <c r="E58" s="689"/>
      <c r="F58" s="47"/>
      <c r="G58" s="47"/>
      <c r="H58" s="47"/>
      <c r="I58" s="47"/>
      <c r="J58" s="47"/>
      <c r="K58" s="47"/>
      <c r="L58" s="47"/>
      <c r="M58" s="47"/>
    </row>
    <row r="59" spans="1:13" ht="15.75">
      <c r="A59" s="47"/>
      <c r="B59" s="48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3" ht="15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ht="15.75">
      <c r="A61" s="50"/>
    </row>
    <row r="62" spans="1:3" ht="15.75">
      <c r="A62" s="52"/>
      <c r="C62" s="145"/>
    </row>
    <row r="63" spans="4:13" ht="15.75">
      <c r="D63" s="55"/>
      <c r="F63" s="492"/>
      <c r="G63" s="492"/>
      <c r="H63" s="146"/>
      <c r="I63" s="146"/>
      <c r="J63" s="146"/>
      <c r="K63" s="146"/>
      <c r="L63" s="146"/>
      <c r="M63" s="146"/>
    </row>
    <row r="64" spans="1:4" ht="15.75">
      <c r="A64" s="27"/>
      <c r="D64" s="113"/>
    </row>
  </sheetData>
  <sheetProtection selectLockedCells="1" selectUnlockedCells="1"/>
  <mergeCells count="16">
    <mergeCell ref="A7:M7"/>
    <mergeCell ref="A16:A18"/>
    <mergeCell ref="B16:B18"/>
    <mergeCell ref="C16:C18"/>
    <mergeCell ref="D16:E17"/>
    <mergeCell ref="F16:F18"/>
    <mergeCell ref="G16:G18"/>
    <mergeCell ref="H16:H18"/>
    <mergeCell ref="I16:L16"/>
    <mergeCell ref="M16:M18"/>
    <mergeCell ref="K17:L17"/>
    <mergeCell ref="A48:B48"/>
    <mergeCell ref="B55:E55"/>
    <mergeCell ref="B58:E58"/>
    <mergeCell ref="I17:I18"/>
    <mergeCell ref="J17:J18"/>
  </mergeCells>
  <printOptions/>
  <pageMargins left="1.1298611111111112" right="0.39375" top="0.35" bottom="0.2701388888888889" header="0.5118055555555555" footer="0.5118055555555555"/>
  <pageSetup horizontalDpi="300" verticalDpi="3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="75" zoomScaleNormal="75" zoomScaleSheetLayoutView="80" zoomScalePageLayoutView="0" workbookViewId="0" topLeftCell="A1">
      <selection activeCell="D5" sqref="D5"/>
    </sheetView>
  </sheetViews>
  <sheetFormatPr defaultColWidth="8.796875" defaultRowHeight="15"/>
  <cols>
    <col min="2" max="2" width="34.8984375" style="1" customWidth="1"/>
    <col min="3" max="3" width="15" style="1" customWidth="1"/>
    <col min="4" max="4" width="14.3984375" style="1" customWidth="1"/>
    <col min="5" max="5" width="30.69921875" style="1" customWidth="1"/>
  </cols>
  <sheetData>
    <row r="1" spans="1:5" ht="29.25" customHeight="1">
      <c r="A1" s="712" t="s">
        <v>1073</v>
      </c>
      <c r="B1" s="712"/>
      <c r="C1" s="712"/>
      <c r="D1" s="712"/>
      <c r="E1" s="712"/>
    </row>
    <row r="2" spans="1:5" ht="15.75">
      <c r="A2" s="114"/>
      <c r="B2" s="114"/>
      <c r="C2" s="394"/>
      <c r="E2" s="112" t="s">
        <v>256</v>
      </c>
    </row>
    <row r="3" ht="15.75">
      <c r="E3" s="112" t="s">
        <v>1074</v>
      </c>
    </row>
    <row r="4" spans="4:5" ht="15.75">
      <c r="D4" s="1" t="s">
        <v>1075</v>
      </c>
      <c r="E4" s="112"/>
    </row>
    <row r="5" ht="15.75">
      <c r="E5" s="112"/>
    </row>
    <row r="6" spans="5:7" ht="31.5" customHeight="1">
      <c r="E6" s="115" t="s">
        <v>259</v>
      </c>
      <c r="F6" s="724"/>
      <c r="G6" s="724"/>
    </row>
    <row r="7" spans="5:7" ht="15.75">
      <c r="E7" s="112" t="s">
        <v>1054</v>
      </c>
      <c r="F7" s="493"/>
      <c r="G7" s="493"/>
    </row>
    <row r="8" ht="15.75">
      <c r="E8" s="112" t="s">
        <v>261</v>
      </c>
    </row>
    <row r="9" ht="15.75">
      <c r="E9" s="112"/>
    </row>
    <row r="10" ht="15.75">
      <c r="E10" s="112" t="s">
        <v>1055</v>
      </c>
    </row>
    <row r="11" spans="1:5" ht="15.75">
      <c r="A11" s="113"/>
      <c r="E11" s="112"/>
    </row>
    <row r="12" spans="1:5" ht="15.75" customHeight="1">
      <c r="A12" s="671" t="s">
        <v>262</v>
      </c>
      <c r="B12" s="672" t="s">
        <v>973</v>
      </c>
      <c r="C12" s="673" t="s">
        <v>633</v>
      </c>
      <c r="D12" s="673"/>
      <c r="E12" s="684" t="s">
        <v>1067</v>
      </c>
    </row>
    <row r="13" spans="1:5" ht="14.25">
      <c r="A13" s="671"/>
      <c r="B13" s="672"/>
      <c r="C13" s="673"/>
      <c r="D13" s="673"/>
      <c r="E13" s="684"/>
    </row>
    <row r="14" spans="1:7" ht="15.75">
      <c r="A14" s="671"/>
      <c r="B14" s="672"/>
      <c r="C14" s="118" t="s">
        <v>1076</v>
      </c>
      <c r="D14" s="118" t="s">
        <v>1077</v>
      </c>
      <c r="E14" s="684"/>
      <c r="F14" s="493"/>
      <c r="G14" s="493"/>
    </row>
    <row r="15" spans="1:5" ht="32.25" customHeight="1">
      <c r="A15" s="494">
        <v>1</v>
      </c>
      <c r="B15" s="495" t="s">
        <v>979</v>
      </c>
      <c r="C15" s="496">
        <v>32141.4</v>
      </c>
      <c r="D15" s="496">
        <f>D19+D23</f>
        <v>100829.6</v>
      </c>
      <c r="E15" s="124"/>
    </row>
    <row r="16" spans="1:5" ht="31.5">
      <c r="A16" s="497" t="s">
        <v>199</v>
      </c>
      <c r="B16" s="39" t="s">
        <v>980</v>
      </c>
      <c r="C16" s="498"/>
      <c r="D16" s="498"/>
      <c r="E16" s="275"/>
    </row>
    <row r="17" spans="1:5" ht="31.5">
      <c r="A17" s="497" t="s">
        <v>282</v>
      </c>
      <c r="B17" s="39" t="s">
        <v>981</v>
      </c>
      <c r="C17" s="498">
        <v>0</v>
      </c>
      <c r="D17" s="499">
        <v>68519.8</v>
      </c>
      <c r="E17" s="275"/>
    </row>
    <row r="18" spans="1:7" ht="15.75">
      <c r="A18" s="497" t="s">
        <v>284</v>
      </c>
      <c r="B18" s="39" t="s">
        <v>982</v>
      </c>
      <c r="C18" s="498"/>
      <c r="D18" s="498"/>
      <c r="E18" s="275"/>
      <c r="F18" s="500"/>
      <c r="G18" s="500"/>
    </row>
    <row r="19" spans="1:5" ht="47.25">
      <c r="A19" s="497" t="s">
        <v>286</v>
      </c>
      <c r="B19" s="39" t="s">
        <v>983</v>
      </c>
      <c r="C19" s="499">
        <v>0</v>
      </c>
      <c r="D19" s="499">
        <v>68519.8</v>
      </c>
      <c r="E19" s="275"/>
    </row>
    <row r="20" spans="1:5" ht="31.5">
      <c r="A20" s="497" t="s">
        <v>984</v>
      </c>
      <c r="B20" s="39" t="s">
        <v>985</v>
      </c>
      <c r="C20" s="499"/>
      <c r="D20" s="499"/>
      <c r="E20" s="275"/>
    </row>
    <row r="21" spans="1:5" ht="31.5">
      <c r="A21" s="497" t="s">
        <v>986</v>
      </c>
      <c r="B21" s="39" t="s">
        <v>987</v>
      </c>
      <c r="C21" s="498">
        <v>0</v>
      </c>
      <c r="D21" s="499">
        <v>68519.8</v>
      </c>
      <c r="E21" s="275"/>
    </row>
    <row r="22" spans="1:5" ht="15.75">
      <c r="A22" s="497" t="s">
        <v>288</v>
      </c>
      <c r="B22" s="39" t="s">
        <v>988</v>
      </c>
      <c r="C22" s="498"/>
      <c r="D22" s="498"/>
      <c r="E22" s="275"/>
    </row>
    <row r="23" spans="1:5" ht="15.75">
      <c r="A23" s="497" t="s">
        <v>201</v>
      </c>
      <c r="B23" s="39" t="s">
        <v>769</v>
      </c>
      <c r="C23" s="499">
        <v>32141.4</v>
      </c>
      <c r="D23" s="499">
        <v>32309.8</v>
      </c>
      <c r="E23" s="275"/>
    </row>
    <row r="24" spans="1:5" ht="15.75">
      <c r="A24" s="497" t="s">
        <v>989</v>
      </c>
      <c r="B24" s="39" t="s">
        <v>990</v>
      </c>
      <c r="C24" s="498">
        <f>C23</f>
        <v>32141.4</v>
      </c>
      <c r="D24" s="498">
        <v>32141</v>
      </c>
      <c r="E24" s="275"/>
    </row>
    <row r="25" spans="1:5" ht="15.75">
      <c r="A25" s="497" t="s">
        <v>991</v>
      </c>
      <c r="B25" s="39" t="s">
        <v>992</v>
      </c>
      <c r="C25" s="498"/>
      <c r="D25" s="498">
        <f>D23-D24</f>
        <v>168.79999999999927</v>
      </c>
      <c r="E25" s="275"/>
    </row>
    <row r="26" spans="1:5" ht="31.5">
      <c r="A26" s="497" t="s">
        <v>993</v>
      </c>
      <c r="B26" s="39" t="s">
        <v>994</v>
      </c>
      <c r="C26" s="498"/>
      <c r="D26" s="498"/>
      <c r="E26" s="275"/>
    </row>
    <row r="27" spans="1:5" ht="15.75">
      <c r="A27" s="497" t="s">
        <v>204</v>
      </c>
      <c r="B27" s="39" t="s">
        <v>995</v>
      </c>
      <c r="C27" s="498"/>
      <c r="D27" s="499"/>
      <c r="E27" s="275"/>
    </row>
    <row r="28" spans="1:5" ht="15.75">
      <c r="A28" s="497" t="s">
        <v>206</v>
      </c>
      <c r="B28" s="39" t="s">
        <v>996</v>
      </c>
      <c r="C28" s="498">
        <v>0</v>
      </c>
      <c r="D28" s="499"/>
      <c r="E28" s="275"/>
    </row>
    <row r="29" spans="1:5" ht="15.75">
      <c r="A29" s="497" t="s">
        <v>997</v>
      </c>
      <c r="B29" s="39" t="s">
        <v>998</v>
      </c>
      <c r="C29" s="498"/>
      <c r="D29" s="498"/>
      <c r="E29" s="275"/>
    </row>
    <row r="30" spans="1:5" ht="31.5">
      <c r="A30" s="501" t="s">
        <v>860</v>
      </c>
      <c r="B30" s="502" t="s">
        <v>999</v>
      </c>
      <c r="C30" s="503"/>
      <c r="D30" s="503"/>
      <c r="E30" s="278"/>
    </row>
    <row r="31" spans="1:5" ht="15.75">
      <c r="A31" s="504" t="s">
        <v>308</v>
      </c>
      <c r="B31" s="495" t="s">
        <v>1000</v>
      </c>
      <c r="C31" s="505"/>
      <c r="D31" s="498">
        <f>D38</f>
        <v>0</v>
      </c>
      <c r="E31" s="506"/>
    </row>
    <row r="32" spans="1:5" ht="15.75">
      <c r="A32" s="497" t="s">
        <v>209</v>
      </c>
      <c r="B32" s="39" t="s">
        <v>1001</v>
      </c>
      <c r="C32" s="507"/>
      <c r="D32" s="498"/>
      <c r="E32" s="275"/>
    </row>
    <row r="33" spans="1:5" ht="15.75">
      <c r="A33" s="497" t="s">
        <v>211</v>
      </c>
      <c r="B33" s="39" t="s">
        <v>1002</v>
      </c>
      <c r="C33" s="507"/>
      <c r="D33" s="507"/>
      <c r="E33" s="275"/>
    </row>
    <row r="34" spans="1:5" ht="15.75">
      <c r="A34" s="508" t="s">
        <v>213</v>
      </c>
      <c r="B34" s="39" t="s">
        <v>1003</v>
      </c>
      <c r="C34" s="509"/>
      <c r="D34" s="509"/>
      <c r="E34" s="510"/>
    </row>
    <row r="35" spans="1:5" ht="15.75">
      <c r="A35" s="508" t="s">
        <v>812</v>
      </c>
      <c r="B35" s="39" t="s">
        <v>1004</v>
      </c>
      <c r="C35" s="509"/>
      <c r="D35" s="509"/>
      <c r="E35" s="510"/>
    </row>
    <row r="36" spans="1:5" ht="15.75">
      <c r="A36" s="497" t="s">
        <v>814</v>
      </c>
      <c r="B36" s="39" t="s">
        <v>1005</v>
      </c>
      <c r="C36" s="509"/>
      <c r="D36" s="509"/>
      <c r="E36" s="510"/>
    </row>
    <row r="37" spans="1:5" ht="21.75" customHeight="1">
      <c r="A37" s="497" t="s">
        <v>816</v>
      </c>
      <c r="B37" s="39" t="s">
        <v>1006</v>
      </c>
      <c r="C37" s="509"/>
      <c r="D37" s="509"/>
      <c r="E37" s="510"/>
    </row>
    <row r="38" spans="1:5" ht="15.75">
      <c r="A38" s="501" t="s">
        <v>1007</v>
      </c>
      <c r="B38" s="502" t="s">
        <v>1008</v>
      </c>
      <c r="C38" s="511"/>
      <c r="D38" s="498"/>
      <c r="E38" s="512"/>
    </row>
    <row r="39" spans="1:5" ht="31.5">
      <c r="A39" s="513"/>
      <c r="B39" s="514" t="s">
        <v>1009</v>
      </c>
      <c r="C39" s="515">
        <f>C15+C31</f>
        <v>32141.4</v>
      </c>
      <c r="D39" s="515">
        <f>D15+D31</f>
        <v>100829.6</v>
      </c>
      <c r="E39" s="516"/>
    </row>
    <row r="40" spans="1:5" ht="15.75">
      <c r="A40" s="251"/>
      <c r="B40" s="39" t="s">
        <v>1010</v>
      </c>
      <c r="C40" s="509"/>
      <c r="D40" s="509"/>
      <c r="E40" s="510"/>
    </row>
    <row r="41" spans="1:5" ht="15.75">
      <c r="A41" s="251"/>
      <c r="B41" s="419" t="s">
        <v>1011</v>
      </c>
      <c r="C41" s="509"/>
      <c r="D41" s="509"/>
      <c r="E41" s="510"/>
    </row>
    <row r="42" spans="1:5" ht="15.75">
      <c r="A42" s="420"/>
      <c r="B42" s="421" t="s">
        <v>1012</v>
      </c>
      <c r="C42" s="511"/>
      <c r="D42" s="511"/>
      <c r="E42" s="512"/>
    </row>
    <row r="43" spans="1:5" ht="15.75">
      <c r="A43" s="50"/>
      <c r="B43" s="517"/>
      <c r="C43" s="49"/>
      <c r="D43" s="49"/>
      <c r="E43" s="48"/>
    </row>
    <row r="44" spans="1:4" ht="15.75">
      <c r="A44" s="50" t="s">
        <v>1078</v>
      </c>
      <c r="C44" s="47"/>
      <c r="D44" s="47"/>
    </row>
    <row r="45" spans="1:4" ht="15.75">
      <c r="A45" s="50" t="s">
        <v>1079</v>
      </c>
      <c r="C45" s="47"/>
      <c r="D45" s="47"/>
    </row>
    <row r="46" spans="1:4" ht="15.75">
      <c r="A46" s="50"/>
      <c r="C46" s="47"/>
      <c r="D46" s="47"/>
    </row>
    <row r="47" spans="1:5" ht="15.75">
      <c r="A47" s="49" t="s">
        <v>1080</v>
      </c>
      <c r="B47" s="518"/>
      <c r="C47" s="47"/>
      <c r="D47" s="47"/>
      <c r="E47" s="49"/>
    </row>
    <row r="48" spans="3:4" ht="15.75">
      <c r="C48" s="47"/>
      <c r="D48" s="47"/>
    </row>
    <row r="49" spans="3:4" ht="15.75">
      <c r="C49" s="47"/>
      <c r="D49" s="47"/>
    </row>
    <row r="50" spans="1:7" ht="15.75">
      <c r="A50" s="49"/>
      <c r="B50" s="518"/>
      <c r="C50" s="47"/>
      <c r="D50" s="47"/>
      <c r="E50" s="49"/>
      <c r="F50" s="48"/>
      <c r="G50" s="48"/>
    </row>
    <row r="51" spans="3:4" ht="15.75">
      <c r="C51" s="47"/>
      <c r="D51" s="47"/>
    </row>
    <row r="52" spans="3:4" ht="15.75">
      <c r="C52" s="47"/>
      <c r="D52" s="47"/>
    </row>
    <row r="53" spans="3:4" ht="15.75">
      <c r="C53" s="47"/>
      <c r="D53" s="47"/>
    </row>
    <row r="54" spans="3:4" ht="15.75">
      <c r="C54" s="47"/>
      <c r="D54" s="47"/>
    </row>
    <row r="55" spans="3:4" ht="15.75">
      <c r="C55" s="47"/>
      <c r="D55" s="47"/>
    </row>
    <row r="56" spans="3:4" ht="15.75">
      <c r="C56" s="47"/>
      <c r="D56" s="47"/>
    </row>
    <row r="57" spans="3:4" ht="15.75">
      <c r="C57" s="47"/>
      <c r="D57" s="47"/>
    </row>
    <row r="58" spans="3:4" ht="15.75">
      <c r="C58" s="47"/>
      <c r="D58" s="47"/>
    </row>
    <row r="59" spans="3:4" ht="15.75">
      <c r="C59" s="47"/>
      <c r="D59" s="47"/>
    </row>
    <row r="60" spans="3:4" ht="15.75">
      <c r="C60" s="47"/>
      <c r="D60" s="47"/>
    </row>
    <row r="61" spans="3:4" ht="15.75">
      <c r="C61" s="47"/>
      <c r="D61" s="47"/>
    </row>
    <row r="62" spans="3:4" ht="15.75">
      <c r="C62" s="47"/>
      <c r="D62" s="47"/>
    </row>
    <row r="63" spans="3:4" ht="15.75">
      <c r="C63" s="47"/>
      <c r="D63" s="47"/>
    </row>
    <row r="64" spans="3:4" ht="15.75">
      <c r="C64" s="143"/>
      <c r="D64" s="143"/>
    </row>
    <row r="68" spans="3:4" ht="15.75">
      <c r="C68" s="47"/>
      <c r="D68" s="47"/>
    </row>
    <row r="69" spans="3:4" ht="15.75">
      <c r="C69" s="47"/>
      <c r="D69" s="47"/>
    </row>
    <row r="72" ht="15.75">
      <c r="C72" s="55"/>
    </row>
    <row r="73" ht="15.75">
      <c r="C73" s="113"/>
    </row>
  </sheetData>
  <sheetProtection selectLockedCells="1" selectUnlockedCells="1"/>
  <mergeCells count="6">
    <mergeCell ref="A1:E1"/>
    <mergeCell ref="F6:G6"/>
    <mergeCell ref="A12:A14"/>
    <mergeCell ref="B12:B14"/>
    <mergeCell ref="C12:D13"/>
    <mergeCell ref="E12:E14"/>
  </mergeCells>
  <printOptions/>
  <pageMargins left="0.9840277777777777" right="0.39375" top="0.39375" bottom="0.39375" header="0.5118055555555555" footer="0.5118055555555555"/>
  <pageSetup fitToHeight="1" fitToWidth="1" horizontalDpi="300" verticalDpi="3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75" zoomScaleNormal="75" zoomScaleSheetLayoutView="80" zoomScalePageLayoutView="0" workbookViewId="0" topLeftCell="A1">
      <selection activeCell="H55" sqref="H55"/>
    </sheetView>
  </sheetViews>
  <sheetFormatPr defaultColWidth="8.796875" defaultRowHeight="15"/>
  <cols>
    <col min="1" max="1" width="7.19921875" style="1" customWidth="1"/>
    <col min="2" max="2" width="25.19921875" style="1" customWidth="1"/>
    <col min="3" max="6" width="21.19921875" style="1" customWidth="1"/>
    <col min="7" max="8" width="8" style="1" customWidth="1"/>
    <col min="9" max="9" width="8.8984375" style="1" customWidth="1"/>
    <col min="10" max="10" width="10.19921875" style="1" customWidth="1"/>
  </cols>
  <sheetData>
    <row r="1" spans="5:10" ht="15.75">
      <c r="E1" s="112"/>
      <c r="J1" s="112"/>
    </row>
    <row r="2" ht="15.75">
      <c r="F2" s="112" t="s">
        <v>1081</v>
      </c>
    </row>
    <row r="3" ht="15.75">
      <c r="F3" s="112" t="s">
        <v>629</v>
      </c>
    </row>
    <row r="4" ht="15.75">
      <c r="F4" s="112" t="s">
        <v>630</v>
      </c>
    </row>
    <row r="5" ht="15.75">
      <c r="F5" s="112"/>
    </row>
    <row r="6" spans="1:6" ht="32.25" customHeight="1">
      <c r="A6" s="712" t="s">
        <v>233</v>
      </c>
      <c r="B6" s="712"/>
      <c r="C6" s="712"/>
      <c r="D6" s="712"/>
      <c r="E6" s="712"/>
      <c r="F6" s="712"/>
    </row>
    <row r="7" spans="1:6" ht="15.75">
      <c r="A7" s="114"/>
      <c r="B7" s="114"/>
      <c r="C7" s="114"/>
      <c r="D7" s="114"/>
      <c r="E7" s="114"/>
      <c r="F7" s="114"/>
    </row>
    <row r="8" ht="15.75">
      <c r="F8" s="112" t="s">
        <v>256</v>
      </c>
    </row>
    <row r="9" ht="15.75">
      <c r="F9" s="112" t="s">
        <v>631</v>
      </c>
    </row>
    <row r="10" ht="15.75">
      <c r="F10" s="112"/>
    </row>
    <row r="11" ht="15.75">
      <c r="F11" s="115" t="s">
        <v>259</v>
      </c>
    </row>
    <row r="12" ht="15.75">
      <c r="F12" s="112" t="s">
        <v>260</v>
      </c>
    </row>
    <row r="13" ht="15.75">
      <c r="F13" s="112" t="s">
        <v>261</v>
      </c>
    </row>
    <row r="15" spans="1:6" ht="15.75" customHeight="1">
      <c r="A15" s="706" t="s">
        <v>621</v>
      </c>
      <c r="B15" s="707" t="s">
        <v>622</v>
      </c>
      <c r="C15" s="725" t="s">
        <v>271</v>
      </c>
      <c r="D15" s="725"/>
      <c r="E15" s="726" t="s">
        <v>1082</v>
      </c>
      <c r="F15" s="726"/>
    </row>
    <row r="16" spans="1:6" ht="15.75" customHeight="1">
      <c r="A16" s="706"/>
      <c r="B16" s="707"/>
      <c r="C16" s="32" t="s">
        <v>1083</v>
      </c>
      <c r="D16" s="32" t="s">
        <v>1058</v>
      </c>
      <c r="E16" s="32" t="s">
        <v>1083</v>
      </c>
      <c r="F16" s="519" t="s">
        <v>1058</v>
      </c>
    </row>
    <row r="17" spans="1:6" ht="15.75" customHeight="1">
      <c r="A17" s="706"/>
      <c r="B17" s="707"/>
      <c r="C17" s="32" t="s">
        <v>624</v>
      </c>
      <c r="D17" s="32" t="s">
        <v>624</v>
      </c>
      <c r="E17" s="32" t="s">
        <v>624</v>
      </c>
      <c r="F17" s="519" t="s">
        <v>624</v>
      </c>
    </row>
    <row r="18" spans="1:6" ht="15.75">
      <c r="A18" s="520">
        <v>1</v>
      </c>
      <c r="B18" s="31">
        <v>2</v>
      </c>
      <c r="C18" s="521">
        <v>3</v>
      </c>
      <c r="D18" s="521">
        <v>4</v>
      </c>
      <c r="E18" s="521">
        <v>5</v>
      </c>
      <c r="F18" s="444">
        <v>6</v>
      </c>
    </row>
    <row r="19" spans="1:6" ht="15.75">
      <c r="A19" s="522"/>
      <c r="B19" s="523"/>
      <c r="C19" s="524"/>
      <c r="D19" s="524"/>
      <c r="E19" s="524"/>
      <c r="F19" s="454"/>
    </row>
    <row r="20" spans="1:10" ht="15.75">
      <c r="A20" s="525"/>
      <c r="B20" s="526"/>
      <c r="C20" s="526"/>
      <c r="D20" s="526"/>
      <c r="E20" s="526"/>
      <c r="F20" s="526"/>
      <c r="G20" s="526"/>
      <c r="H20" s="526"/>
      <c r="I20" s="526"/>
      <c r="J20" s="48"/>
    </row>
    <row r="21" ht="15.75">
      <c r="B21" s="1" t="s">
        <v>1078</v>
      </c>
    </row>
    <row r="23" ht="15.75">
      <c r="E23" s="48"/>
    </row>
    <row r="24" ht="15.75">
      <c r="E24" s="48"/>
    </row>
    <row r="25" ht="15.75">
      <c r="E25" s="48"/>
    </row>
    <row r="26" ht="15.75">
      <c r="A26" s="52"/>
    </row>
    <row r="28" ht="15.75">
      <c r="A28" s="27"/>
    </row>
  </sheetData>
  <sheetProtection selectLockedCells="1" selectUnlockedCells="1"/>
  <mergeCells count="5">
    <mergeCell ref="A6:F6"/>
    <mergeCell ref="A15:A17"/>
    <mergeCell ref="B15:B17"/>
    <mergeCell ref="C15:D15"/>
    <mergeCell ref="E15:F15"/>
  </mergeCells>
  <printOptions/>
  <pageMargins left="0.39375" right="0.39375" top="0.9840277777777777" bottom="0.39375" header="0.5118055555555555" footer="0.5118055555555555"/>
  <pageSetup fitToHeight="1" fitToWidth="1" horizontalDpi="300" verticalDpi="3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2"/>
  <sheetViews>
    <sheetView zoomScale="75" zoomScaleNormal="75" zoomScaleSheetLayoutView="80" zoomScalePageLayoutView="0" workbookViewId="0" topLeftCell="A1">
      <selection activeCell="H31" sqref="H31"/>
    </sheetView>
  </sheetViews>
  <sheetFormatPr defaultColWidth="8.796875" defaultRowHeight="15"/>
  <cols>
    <col min="2" max="2" width="37.19921875" style="1" customWidth="1"/>
    <col min="3" max="3" width="13.3984375" style="1" customWidth="1"/>
    <col min="4" max="5" width="10.8984375" style="1" customWidth="1"/>
    <col min="6" max="6" width="6.09765625" style="1" customWidth="1"/>
    <col min="7" max="7" width="6.3984375" style="1" customWidth="1"/>
    <col min="8" max="8" width="6.09765625" style="1" customWidth="1"/>
    <col min="9" max="9" width="6.3984375" style="1" customWidth="1"/>
    <col min="10" max="10" width="6.09765625" style="1" customWidth="1"/>
    <col min="11" max="11" width="6.3984375" style="1" customWidth="1"/>
    <col min="12" max="12" width="6.09765625" style="1" customWidth="1"/>
    <col min="13" max="13" width="6.3984375" style="1" customWidth="1"/>
    <col min="14" max="14" width="9.8984375" style="491" customWidth="1"/>
    <col min="15" max="15" width="13.19921875" style="491" customWidth="1"/>
    <col min="16" max="16" width="9.8984375" style="491" customWidth="1"/>
    <col min="17" max="17" width="13.19921875" style="491" customWidth="1"/>
    <col min="18" max="18" width="14.3984375" style="1" customWidth="1"/>
    <col min="19" max="19" width="12.19921875" style="1" customWidth="1"/>
    <col min="20" max="20" width="6.19921875" style="1" customWidth="1"/>
    <col min="21" max="22" width="14.3984375" style="1" customWidth="1"/>
    <col min="23" max="23" width="37.5" style="1" customWidth="1"/>
  </cols>
  <sheetData>
    <row r="2" ht="15.75">
      <c r="W2" s="112" t="s">
        <v>1084</v>
      </c>
    </row>
    <row r="3" ht="15.75">
      <c r="W3" s="112" t="s">
        <v>629</v>
      </c>
    </row>
    <row r="4" ht="15.75">
      <c r="W4" s="112" t="s">
        <v>630</v>
      </c>
    </row>
    <row r="5" ht="15.75">
      <c r="W5" s="112"/>
    </row>
    <row r="6" spans="1:23" ht="30.75" customHeight="1">
      <c r="A6" s="712" t="s">
        <v>235</v>
      </c>
      <c r="B6" s="712"/>
      <c r="C6" s="712"/>
      <c r="D6" s="712"/>
      <c r="E6" s="712"/>
      <c r="F6" s="712"/>
      <c r="G6" s="712"/>
      <c r="H6" s="712"/>
      <c r="I6" s="712"/>
      <c r="J6" s="712"/>
      <c r="K6" s="712"/>
      <c r="L6" s="712"/>
      <c r="M6" s="712"/>
      <c r="N6" s="712"/>
      <c r="O6" s="712"/>
      <c r="P6" s="712"/>
      <c r="Q6" s="712"/>
      <c r="R6" s="712"/>
      <c r="S6" s="712"/>
      <c r="T6" s="712"/>
      <c r="U6" s="712"/>
      <c r="V6" s="712"/>
      <c r="W6" s="712"/>
    </row>
    <row r="7" ht="15.75">
      <c r="W7" s="112" t="s">
        <v>256</v>
      </c>
    </row>
    <row r="8" ht="15.75">
      <c r="W8" s="112" t="s">
        <v>631</v>
      </c>
    </row>
    <row r="9" ht="15.75">
      <c r="W9" s="112"/>
    </row>
    <row r="10" ht="15.75">
      <c r="W10" s="115" t="s">
        <v>259</v>
      </c>
    </row>
    <row r="11" spans="1:23" ht="15.75">
      <c r="A11" s="113"/>
      <c r="W11" s="112" t="s">
        <v>260</v>
      </c>
    </row>
    <row r="12" spans="1:23" ht="15.75">
      <c r="A12" s="113"/>
      <c r="W12" s="112" t="s">
        <v>261</v>
      </c>
    </row>
    <row r="14" spans="1:23" ht="126" customHeight="1">
      <c r="A14" s="722" t="s">
        <v>262</v>
      </c>
      <c r="B14" s="673" t="s">
        <v>263</v>
      </c>
      <c r="C14" s="673" t="s">
        <v>1062</v>
      </c>
      <c r="D14" s="673" t="s">
        <v>633</v>
      </c>
      <c r="E14" s="673"/>
      <c r="F14" s="673"/>
      <c r="G14" s="673"/>
      <c r="H14" s="673"/>
      <c r="I14" s="673"/>
      <c r="J14" s="673"/>
      <c r="K14" s="673"/>
      <c r="L14" s="673"/>
      <c r="M14" s="673"/>
      <c r="N14" s="673" t="s">
        <v>1063</v>
      </c>
      <c r="O14" s="673"/>
      <c r="P14" s="673" t="s">
        <v>1085</v>
      </c>
      <c r="Q14" s="673"/>
      <c r="R14" s="673" t="s">
        <v>1065</v>
      </c>
      <c r="S14" s="673" t="s">
        <v>1066</v>
      </c>
      <c r="T14" s="673"/>
      <c r="U14" s="673"/>
      <c r="V14" s="673"/>
      <c r="W14" s="723" t="s">
        <v>1067</v>
      </c>
    </row>
    <row r="15" spans="1:23" ht="31.5" customHeight="1">
      <c r="A15" s="722"/>
      <c r="B15" s="673"/>
      <c r="C15" s="673"/>
      <c r="D15" s="685" t="s">
        <v>638</v>
      </c>
      <c r="E15" s="685"/>
      <c r="F15" s="685" t="s">
        <v>639</v>
      </c>
      <c r="G15" s="685"/>
      <c r="H15" s="685" t="s">
        <v>640</v>
      </c>
      <c r="I15" s="685"/>
      <c r="J15" s="685" t="s">
        <v>641</v>
      </c>
      <c r="K15" s="685"/>
      <c r="L15" s="685" t="s">
        <v>642</v>
      </c>
      <c r="M15" s="685"/>
      <c r="N15" s="673"/>
      <c r="O15" s="673"/>
      <c r="P15" s="673"/>
      <c r="Q15" s="673"/>
      <c r="R15" s="673"/>
      <c r="S15" s="685" t="s">
        <v>278</v>
      </c>
      <c r="T15" s="685" t="s">
        <v>643</v>
      </c>
      <c r="U15" s="685" t="s">
        <v>644</v>
      </c>
      <c r="V15" s="685"/>
      <c r="W15" s="723"/>
    </row>
    <row r="16" spans="1:23" ht="81.75" customHeight="1">
      <c r="A16" s="722"/>
      <c r="B16" s="673"/>
      <c r="C16" s="673"/>
      <c r="D16" s="32" t="s">
        <v>1068</v>
      </c>
      <c r="E16" s="32" t="s">
        <v>1069</v>
      </c>
      <c r="F16" s="32" t="s">
        <v>647</v>
      </c>
      <c r="G16" s="32" t="s">
        <v>1058</v>
      </c>
      <c r="H16" s="32" t="s">
        <v>647</v>
      </c>
      <c r="I16" s="32" t="s">
        <v>1058</v>
      </c>
      <c r="J16" s="32" t="s">
        <v>647</v>
      </c>
      <c r="K16" s="32" t="s">
        <v>1058</v>
      </c>
      <c r="L16" s="32" t="s">
        <v>647</v>
      </c>
      <c r="M16" s="32" t="s">
        <v>1058</v>
      </c>
      <c r="N16" s="32" t="s">
        <v>638</v>
      </c>
      <c r="O16" s="32" t="s">
        <v>1086</v>
      </c>
      <c r="P16" s="32" t="s">
        <v>638</v>
      </c>
      <c r="Q16" s="32" t="s">
        <v>1087</v>
      </c>
      <c r="R16" s="673"/>
      <c r="S16" s="673"/>
      <c r="T16" s="673"/>
      <c r="U16" s="32" t="s">
        <v>649</v>
      </c>
      <c r="V16" s="32" t="s">
        <v>650</v>
      </c>
      <c r="W16" s="723"/>
    </row>
    <row r="17" spans="1:23" ht="15.75">
      <c r="A17" s="125"/>
      <c r="B17" s="30" t="s">
        <v>279</v>
      </c>
      <c r="C17" s="30"/>
      <c r="D17" s="30"/>
      <c r="E17" s="33"/>
      <c r="F17" s="30"/>
      <c r="G17" s="30"/>
      <c r="H17" s="33"/>
      <c r="I17" s="33"/>
      <c r="J17" s="30"/>
      <c r="K17" s="30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127"/>
    </row>
    <row r="18" spans="1:23" ht="31.5">
      <c r="A18" s="125" t="s">
        <v>653</v>
      </c>
      <c r="B18" s="30" t="s">
        <v>280</v>
      </c>
      <c r="C18" s="30"/>
      <c r="D18" s="30"/>
      <c r="E18" s="30"/>
      <c r="F18" s="30"/>
      <c r="G18" s="30"/>
      <c r="H18" s="30"/>
      <c r="I18" s="30"/>
      <c r="J18" s="30"/>
      <c r="K18" s="30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127"/>
    </row>
    <row r="19" spans="1:23" ht="31.5">
      <c r="A19" s="128" t="s">
        <v>199</v>
      </c>
      <c r="B19" s="30" t="s">
        <v>281</v>
      </c>
      <c r="C19" s="30"/>
      <c r="D19" s="30"/>
      <c r="E19" s="30"/>
      <c r="F19" s="30"/>
      <c r="G19" s="30"/>
      <c r="H19" s="30"/>
      <c r="I19" s="30"/>
      <c r="J19" s="30"/>
      <c r="K19" s="30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127"/>
    </row>
    <row r="20" spans="1:23" ht="15.75">
      <c r="A20" s="129">
        <v>1</v>
      </c>
      <c r="B20" s="39" t="s">
        <v>615</v>
      </c>
      <c r="C20" s="39"/>
      <c r="D20" s="39"/>
      <c r="E20" s="39"/>
      <c r="F20" s="39"/>
      <c r="G20" s="39"/>
      <c r="H20" s="39"/>
      <c r="I20" s="39"/>
      <c r="J20" s="39"/>
      <c r="K20" s="39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127"/>
    </row>
    <row r="21" spans="1:23" ht="15.75">
      <c r="A21" s="129">
        <v>2</v>
      </c>
      <c r="B21" s="39" t="s">
        <v>616</v>
      </c>
      <c r="C21" s="39"/>
      <c r="D21" s="39"/>
      <c r="E21" s="39"/>
      <c r="F21" s="39"/>
      <c r="G21" s="39"/>
      <c r="H21" s="39"/>
      <c r="I21" s="39"/>
      <c r="J21" s="39"/>
      <c r="K21" s="39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127"/>
    </row>
    <row r="22" spans="1:23" ht="15.75">
      <c r="A22" s="129" t="s">
        <v>617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127"/>
    </row>
    <row r="23" spans="1:23" ht="31.5">
      <c r="A23" s="125" t="s">
        <v>201</v>
      </c>
      <c r="B23" s="30" t="s">
        <v>294</v>
      </c>
      <c r="C23" s="30"/>
      <c r="D23" s="39"/>
      <c r="E23" s="39"/>
      <c r="F23" s="39"/>
      <c r="G23" s="39"/>
      <c r="H23" s="39"/>
      <c r="I23" s="39"/>
      <c r="J23" s="39"/>
      <c r="K23" s="39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127"/>
    </row>
    <row r="24" spans="1:23" ht="15.75">
      <c r="A24" s="129">
        <v>1</v>
      </c>
      <c r="B24" s="39" t="s">
        <v>615</v>
      </c>
      <c r="C24" s="39"/>
      <c r="D24" s="39"/>
      <c r="E24" s="39"/>
      <c r="F24" s="39"/>
      <c r="G24" s="39"/>
      <c r="H24" s="39"/>
      <c r="I24" s="39"/>
      <c r="J24" s="39"/>
      <c r="K24" s="39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127"/>
    </row>
    <row r="25" spans="1:23" ht="15.75">
      <c r="A25" s="129">
        <v>2</v>
      </c>
      <c r="B25" s="39" t="s">
        <v>616</v>
      </c>
      <c r="C25" s="39"/>
      <c r="D25" s="39"/>
      <c r="E25" s="39"/>
      <c r="F25" s="39"/>
      <c r="G25" s="39"/>
      <c r="H25" s="39"/>
      <c r="I25" s="39"/>
      <c r="J25" s="39"/>
      <c r="K25" s="39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127"/>
    </row>
    <row r="26" spans="1:23" ht="15.75">
      <c r="A26" s="129" t="s">
        <v>617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127"/>
    </row>
    <row r="27" spans="1:23" ht="31.5">
      <c r="A27" s="125" t="s">
        <v>204</v>
      </c>
      <c r="B27" s="30" t="s">
        <v>299</v>
      </c>
      <c r="C27" s="30"/>
      <c r="D27" s="39"/>
      <c r="E27" s="39"/>
      <c r="F27" s="39"/>
      <c r="G27" s="39"/>
      <c r="H27" s="39"/>
      <c r="I27" s="39"/>
      <c r="J27" s="39"/>
      <c r="K27" s="39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127"/>
    </row>
    <row r="28" spans="1:23" ht="15.75">
      <c r="A28" s="129">
        <v>1</v>
      </c>
      <c r="B28" s="39" t="s">
        <v>615</v>
      </c>
      <c r="C28" s="39"/>
      <c r="D28" s="39"/>
      <c r="E28" s="39"/>
      <c r="F28" s="39"/>
      <c r="G28" s="39"/>
      <c r="H28" s="39"/>
      <c r="I28" s="39"/>
      <c r="J28" s="39"/>
      <c r="K28" s="39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127"/>
    </row>
    <row r="29" spans="1:23" ht="15.75">
      <c r="A29" s="129">
        <v>2</v>
      </c>
      <c r="B29" s="39" t="s">
        <v>616</v>
      </c>
      <c r="C29" s="39"/>
      <c r="D29" s="39"/>
      <c r="E29" s="39"/>
      <c r="F29" s="39"/>
      <c r="G29" s="39"/>
      <c r="H29" s="39"/>
      <c r="I29" s="39"/>
      <c r="J29" s="39"/>
      <c r="K29" s="39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127"/>
    </row>
    <row r="30" spans="1:23" ht="15.75">
      <c r="A30" s="129" t="s">
        <v>617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127"/>
    </row>
    <row r="31" spans="1:23" ht="47.25">
      <c r="A31" s="125" t="s">
        <v>206</v>
      </c>
      <c r="B31" s="30" t="s">
        <v>307</v>
      </c>
      <c r="C31" s="39"/>
      <c r="D31" s="39"/>
      <c r="E31" s="39"/>
      <c r="F31" s="39"/>
      <c r="G31" s="39"/>
      <c r="H31" s="39"/>
      <c r="I31" s="39"/>
      <c r="J31" s="39"/>
      <c r="K31" s="39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127"/>
    </row>
    <row r="32" spans="1:23" ht="15.75">
      <c r="A32" s="129">
        <v>1</v>
      </c>
      <c r="B32" s="39" t="s">
        <v>615</v>
      </c>
      <c r="C32" s="39"/>
      <c r="D32" s="39"/>
      <c r="E32" s="39"/>
      <c r="F32" s="39"/>
      <c r="G32" s="39"/>
      <c r="H32" s="39"/>
      <c r="I32" s="39"/>
      <c r="J32" s="39"/>
      <c r="K32" s="39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127"/>
    </row>
    <row r="33" spans="1:23" ht="15.75">
      <c r="A33" s="129">
        <v>2</v>
      </c>
      <c r="B33" s="39" t="s">
        <v>616</v>
      </c>
      <c r="C33" s="39"/>
      <c r="D33" s="39"/>
      <c r="E33" s="39"/>
      <c r="F33" s="39"/>
      <c r="G33" s="39"/>
      <c r="H33" s="39"/>
      <c r="I33" s="39"/>
      <c r="J33" s="39"/>
      <c r="K33" s="39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127"/>
    </row>
    <row r="34" spans="1:23" ht="15.75">
      <c r="A34" s="129" t="s">
        <v>617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127"/>
    </row>
    <row r="35" spans="1:23" ht="15.75">
      <c r="A35" s="125" t="s">
        <v>308</v>
      </c>
      <c r="B35" s="30" t="s">
        <v>309</v>
      </c>
      <c r="C35" s="30"/>
      <c r="D35" s="30"/>
      <c r="E35" s="30"/>
      <c r="F35" s="30"/>
      <c r="G35" s="30"/>
      <c r="H35" s="30"/>
      <c r="I35" s="30"/>
      <c r="J35" s="30"/>
      <c r="K35" s="30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127"/>
    </row>
    <row r="36" spans="1:23" ht="31.5">
      <c r="A36" s="128" t="s">
        <v>209</v>
      </c>
      <c r="B36" s="30" t="s">
        <v>281</v>
      </c>
      <c r="C36" s="30"/>
      <c r="D36" s="30"/>
      <c r="E36" s="30"/>
      <c r="F36" s="30"/>
      <c r="G36" s="30"/>
      <c r="H36" s="30"/>
      <c r="I36" s="30"/>
      <c r="J36" s="30"/>
      <c r="K36" s="30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127"/>
    </row>
    <row r="37" spans="1:23" ht="15.75">
      <c r="A37" s="129">
        <v>1</v>
      </c>
      <c r="B37" s="39" t="s">
        <v>615</v>
      </c>
      <c r="C37" s="30"/>
      <c r="D37" s="30"/>
      <c r="E37" s="30"/>
      <c r="F37" s="30"/>
      <c r="G37" s="30"/>
      <c r="H37" s="30"/>
      <c r="I37" s="30"/>
      <c r="J37" s="30"/>
      <c r="K37" s="30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127"/>
    </row>
    <row r="38" spans="1:23" ht="15.75">
      <c r="A38" s="129">
        <v>2</v>
      </c>
      <c r="B38" s="39" t="s">
        <v>616</v>
      </c>
      <c r="C38" s="30"/>
      <c r="D38" s="30"/>
      <c r="E38" s="30"/>
      <c r="F38" s="30"/>
      <c r="G38" s="30"/>
      <c r="H38" s="30"/>
      <c r="I38" s="30"/>
      <c r="J38" s="30"/>
      <c r="K38" s="30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127"/>
    </row>
    <row r="39" spans="1:23" ht="15.75">
      <c r="A39" s="129" t="s">
        <v>617</v>
      </c>
      <c r="B39" s="39"/>
      <c r="C39" s="30"/>
      <c r="D39" s="30"/>
      <c r="E39" s="30"/>
      <c r="F39" s="30"/>
      <c r="G39" s="30"/>
      <c r="H39" s="30"/>
      <c r="I39" s="30"/>
      <c r="J39" s="30"/>
      <c r="K39" s="30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127"/>
    </row>
    <row r="40" spans="1:23" ht="15.75">
      <c r="A40" s="128" t="s">
        <v>211</v>
      </c>
      <c r="B40" s="35" t="s">
        <v>312</v>
      </c>
      <c r="C40" s="30"/>
      <c r="D40" s="30"/>
      <c r="E40" s="30"/>
      <c r="F40" s="30"/>
      <c r="G40" s="30"/>
      <c r="H40" s="30"/>
      <c r="I40" s="30"/>
      <c r="J40" s="30"/>
      <c r="K40" s="30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127"/>
    </row>
    <row r="41" spans="1:23" ht="15.75">
      <c r="A41" s="129">
        <v>1</v>
      </c>
      <c r="B41" s="39" t="s">
        <v>615</v>
      </c>
      <c r="C41" s="30"/>
      <c r="D41" s="30"/>
      <c r="E41" s="30"/>
      <c r="F41" s="30"/>
      <c r="G41" s="30"/>
      <c r="H41" s="30"/>
      <c r="I41" s="30"/>
      <c r="J41" s="30"/>
      <c r="K41" s="30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127"/>
    </row>
    <row r="42" spans="1:23" ht="15.75">
      <c r="A42" s="129"/>
      <c r="B42" s="39" t="s">
        <v>654</v>
      </c>
      <c r="C42" s="30"/>
      <c r="D42" s="30"/>
      <c r="E42" s="30"/>
      <c r="F42" s="30"/>
      <c r="G42" s="30"/>
      <c r="H42" s="30"/>
      <c r="I42" s="30"/>
      <c r="J42" s="30"/>
      <c r="K42" s="30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127"/>
    </row>
    <row r="43" spans="1:23" ht="15.75">
      <c r="A43" s="129">
        <v>2</v>
      </c>
      <c r="B43" s="39" t="s">
        <v>616</v>
      </c>
      <c r="C43" s="30"/>
      <c r="D43" s="30"/>
      <c r="E43" s="30"/>
      <c r="F43" s="30"/>
      <c r="G43" s="30"/>
      <c r="H43" s="30"/>
      <c r="I43" s="30"/>
      <c r="J43" s="30"/>
      <c r="K43" s="30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127"/>
    </row>
    <row r="44" spans="1:23" ht="15.75">
      <c r="A44" s="129"/>
      <c r="B44" s="39" t="s">
        <v>654</v>
      </c>
      <c r="C44" s="39"/>
      <c r="D44" s="39"/>
      <c r="E44" s="39"/>
      <c r="F44" s="39"/>
      <c r="G44" s="39"/>
      <c r="H44" s="39"/>
      <c r="I44" s="39"/>
      <c r="J44" s="39"/>
      <c r="K44" s="39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127"/>
    </row>
    <row r="45" spans="1:23" ht="15.75">
      <c r="A45" s="129" t="s">
        <v>617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127"/>
    </row>
    <row r="46" spans="1:23" ht="15.75" customHeight="1">
      <c r="A46" s="687" t="s">
        <v>313</v>
      </c>
      <c r="B46" s="687"/>
      <c r="C46" s="39"/>
      <c r="D46" s="39"/>
      <c r="E46" s="39"/>
      <c r="F46" s="39"/>
      <c r="G46" s="39"/>
      <c r="H46" s="39"/>
      <c r="I46" s="39"/>
      <c r="J46" s="39"/>
      <c r="K46" s="39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127"/>
    </row>
    <row r="47" spans="1:23" ht="31.5">
      <c r="A47" s="125"/>
      <c r="B47" s="30" t="s">
        <v>314</v>
      </c>
      <c r="C47" s="30"/>
      <c r="D47" s="39"/>
      <c r="E47" s="39"/>
      <c r="F47" s="39"/>
      <c r="G47" s="39"/>
      <c r="H47" s="39"/>
      <c r="I47" s="39"/>
      <c r="J47" s="39"/>
      <c r="K47" s="39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127"/>
    </row>
    <row r="48" spans="1:23" ht="15.75">
      <c r="A48" s="129">
        <v>1</v>
      </c>
      <c r="B48" s="39" t="s">
        <v>615</v>
      </c>
      <c r="C48" s="39"/>
      <c r="D48" s="39"/>
      <c r="E48" s="39"/>
      <c r="F48" s="39"/>
      <c r="G48" s="39"/>
      <c r="H48" s="39"/>
      <c r="I48" s="39"/>
      <c r="J48" s="39"/>
      <c r="K48" s="39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127"/>
    </row>
    <row r="49" spans="1:23" ht="15.75">
      <c r="A49" s="129">
        <v>2</v>
      </c>
      <c r="B49" s="39" t="s">
        <v>616</v>
      </c>
      <c r="C49" s="39"/>
      <c r="D49" s="39"/>
      <c r="E49" s="39"/>
      <c r="F49" s="39"/>
      <c r="G49" s="39"/>
      <c r="H49" s="39"/>
      <c r="I49" s="39"/>
      <c r="J49" s="39"/>
      <c r="K49" s="39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127"/>
    </row>
    <row r="50" spans="1:23" ht="15.75">
      <c r="A50" s="139" t="s">
        <v>617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2"/>
    </row>
    <row r="51" spans="1:23" ht="15.75">
      <c r="A51" s="143"/>
      <c r="B51" s="143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</row>
    <row r="52" spans="1:23" ht="15.75">
      <c r="A52" s="143"/>
      <c r="B52" s="144" t="s">
        <v>1070</v>
      </c>
      <c r="C52" s="98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</row>
    <row r="53" spans="1:23" ht="15.75" customHeight="1">
      <c r="A53" s="143"/>
      <c r="B53" s="688" t="s">
        <v>1071</v>
      </c>
      <c r="C53" s="688"/>
      <c r="D53" s="688"/>
      <c r="E53" s="688"/>
      <c r="F53" s="688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</row>
    <row r="54" spans="1:23" ht="15.75">
      <c r="A54" s="47"/>
      <c r="B54" s="1" t="s">
        <v>1072</v>
      </c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1:23" ht="15.75">
      <c r="A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1:23" ht="15.75" customHeight="1">
      <c r="A56" s="47"/>
      <c r="B56" s="689" t="s">
        <v>319</v>
      </c>
      <c r="C56" s="689"/>
      <c r="D56" s="689"/>
      <c r="E56" s="689"/>
      <c r="F56" s="689"/>
      <c r="G56" s="689"/>
      <c r="H56" s="689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ht="15.75">
      <c r="A57" s="47"/>
      <c r="B57" s="48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1:23" ht="15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ht="15.75">
      <c r="A59" s="50"/>
    </row>
    <row r="60" spans="1:9" ht="15.75">
      <c r="A60" s="52"/>
      <c r="C60" s="145"/>
      <c r="G60" s="147"/>
      <c r="H60" s="147"/>
      <c r="I60" s="147"/>
    </row>
    <row r="61" spans="4:23" ht="15.75">
      <c r="D61" s="55"/>
      <c r="G61" s="527"/>
      <c r="I61" s="54"/>
      <c r="J61" s="54"/>
      <c r="K61" s="54"/>
      <c r="M61" s="146"/>
      <c r="N61" s="492"/>
      <c r="O61" s="492"/>
      <c r="P61" s="492"/>
      <c r="Q61" s="492"/>
      <c r="R61" s="146"/>
      <c r="S61" s="146"/>
      <c r="T61" s="146"/>
      <c r="U61" s="146"/>
      <c r="V61" s="146"/>
      <c r="W61" s="146"/>
    </row>
    <row r="62" spans="1:9" ht="15.75">
      <c r="A62" s="27"/>
      <c r="D62" s="113"/>
      <c r="I62" s="113"/>
    </row>
  </sheetData>
  <sheetProtection selectLockedCells="1" selectUnlockedCells="1"/>
  <mergeCells count="21">
    <mergeCell ref="W14:W16"/>
    <mergeCell ref="D15:E15"/>
    <mergeCell ref="T15:T16"/>
    <mergeCell ref="P14:Q15"/>
    <mergeCell ref="S14:V14"/>
    <mergeCell ref="A6:W6"/>
    <mergeCell ref="A14:A16"/>
    <mergeCell ref="B14:B16"/>
    <mergeCell ref="C14:C16"/>
    <mergeCell ref="D14:M14"/>
    <mergeCell ref="U15:V15"/>
    <mergeCell ref="S15:S16"/>
    <mergeCell ref="N14:O15"/>
    <mergeCell ref="R14:R16"/>
    <mergeCell ref="J15:K15"/>
    <mergeCell ref="B53:F53"/>
    <mergeCell ref="F15:G15"/>
    <mergeCell ref="B56:H56"/>
    <mergeCell ref="L15:M15"/>
    <mergeCell ref="A46:B46"/>
    <mergeCell ref="H15:I15"/>
  </mergeCells>
  <printOptions/>
  <pageMargins left="0.425" right="0.425" top="0.9881944444444445" bottom="0.39791666666666664" header="0.5118055555555555" footer="0.5118055555555555"/>
  <pageSetup fitToHeight="1" fitToWidth="1" horizontalDpi="300" verticalDpi="300" orientation="landscape" paperSize="9" scale="3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0"/>
  <sheetViews>
    <sheetView zoomScale="75" zoomScaleNormal="75" zoomScaleSheetLayoutView="80" zoomScalePageLayoutView="0" workbookViewId="0" topLeftCell="A1">
      <selection activeCell="A6" sqref="A6"/>
    </sheetView>
  </sheetViews>
  <sheetFormatPr defaultColWidth="8.796875" defaultRowHeight="15"/>
  <cols>
    <col min="2" max="2" width="36.8984375" style="1" customWidth="1"/>
    <col min="3" max="3" width="7.09765625" style="1" customWidth="1"/>
    <col min="4" max="4" width="6" style="1" customWidth="1"/>
    <col min="5" max="5" width="5.69921875" style="27" customWidth="1"/>
    <col min="6" max="6" width="10.5" style="27" customWidth="1"/>
    <col min="7" max="7" width="7.5" style="27" customWidth="1"/>
    <col min="8" max="8" width="6.3984375" style="1" customWidth="1"/>
    <col min="9" max="9" width="6.5" style="1" customWidth="1"/>
    <col min="10" max="10" width="6.3984375" style="1" customWidth="1"/>
    <col min="11" max="11" width="7.8984375" style="1" customWidth="1"/>
    <col min="12" max="12" width="7.69921875" style="1" customWidth="1"/>
    <col min="13" max="16" width="6.5" style="1" customWidth="1"/>
    <col min="17" max="17" width="6.8984375" style="1" customWidth="1"/>
    <col min="19" max="19" width="6.09765625" style="1" customWidth="1"/>
    <col min="20" max="20" width="7.5" style="1" customWidth="1"/>
    <col min="21" max="21" width="7.59765625" style="1" customWidth="1"/>
    <col min="22" max="22" width="7.69921875" style="1" customWidth="1"/>
    <col min="23" max="23" width="10.09765625" style="1" customWidth="1"/>
    <col min="24" max="24" width="12" style="1" customWidth="1"/>
    <col min="25" max="25" width="10.19921875" style="1" customWidth="1"/>
    <col min="26" max="26" width="8.69921875" style="1" customWidth="1"/>
    <col min="27" max="27" width="7.69921875" style="1" customWidth="1"/>
    <col min="28" max="28" width="9.09765625" style="1" customWidth="1"/>
    <col min="29" max="29" width="9.8984375" style="1" customWidth="1"/>
    <col min="30" max="30" width="7.69921875" style="1" customWidth="1"/>
    <col min="31" max="31" width="9.3984375" style="1" customWidth="1"/>
    <col min="33" max="33" width="5.8984375" style="1" customWidth="1"/>
    <col min="34" max="34" width="7.09765625" style="1" customWidth="1"/>
    <col min="35" max="35" width="8.09765625" style="1" customWidth="1"/>
    <col min="36" max="36" width="10.19921875" style="1" customWidth="1"/>
  </cols>
  <sheetData>
    <row r="1" ht="15.75">
      <c r="AJ1" s="112" t="s">
        <v>1088</v>
      </c>
    </row>
    <row r="2" ht="15.75">
      <c r="AJ2" s="112" t="s">
        <v>629</v>
      </c>
    </row>
    <row r="3" ht="15.75">
      <c r="AJ3" s="112" t="s">
        <v>630</v>
      </c>
    </row>
    <row r="4" ht="15.75">
      <c r="AI4" s="112"/>
    </row>
    <row r="6" spans="1:36" ht="33" customHeight="1">
      <c r="A6" s="712" t="s">
        <v>1089</v>
      </c>
      <c r="B6" s="712"/>
      <c r="C6" s="712"/>
      <c r="D6" s="712"/>
      <c r="E6" s="712"/>
      <c r="F6" s="712"/>
      <c r="G6" s="712"/>
      <c r="H6" s="712"/>
      <c r="I6" s="712"/>
      <c r="J6" s="712"/>
      <c r="K6" s="712"/>
      <c r="L6" s="712"/>
      <c r="M6" s="712"/>
      <c r="N6" s="712"/>
      <c r="O6" s="712"/>
      <c r="P6" s="712"/>
      <c r="Q6" s="712"/>
      <c r="R6" s="712"/>
      <c r="S6" s="712"/>
      <c r="T6" s="712"/>
      <c r="U6" s="712"/>
      <c r="V6" s="712"/>
      <c r="W6" s="712"/>
      <c r="X6" s="712"/>
      <c r="Y6" s="712"/>
      <c r="Z6" s="712"/>
      <c r="AA6" s="712"/>
      <c r="AB6" s="712"/>
      <c r="AC6" s="712"/>
      <c r="AD6" s="712"/>
      <c r="AE6" s="712"/>
      <c r="AF6" s="712"/>
      <c r="AG6" s="712"/>
      <c r="AH6" s="712"/>
      <c r="AI6" s="712"/>
      <c r="AJ6" s="712"/>
    </row>
    <row r="7" spans="1:36" ht="15.7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</row>
    <row r="8" ht="15.75">
      <c r="AJ8" s="112" t="s">
        <v>256</v>
      </c>
    </row>
    <row r="9" ht="15.75">
      <c r="AJ9" s="112" t="s">
        <v>631</v>
      </c>
    </row>
    <row r="10" ht="15.75">
      <c r="AJ10" s="112"/>
    </row>
    <row r="11" ht="15.75">
      <c r="AJ11" s="115" t="s">
        <v>259</v>
      </c>
    </row>
    <row r="12" ht="15.75">
      <c r="AJ12" s="112" t="s">
        <v>260</v>
      </c>
    </row>
    <row r="13" ht="15.75">
      <c r="AJ13" s="112" t="s">
        <v>261</v>
      </c>
    </row>
    <row r="15" spans="1:36" ht="22.5" customHeight="1">
      <c r="A15" s="706" t="s">
        <v>262</v>
      </c>
      <c r="B15" s="707" t="s">
        <v>321</v>
      </c>
      <c r="C15" s="707" t="s">
        <v>1090</v>
      </c>
      <c r="D15" s="707"/>
      <c r="E15" s="707"/>
      <c r="F15" s="707"/>
      <c r="G15" s="707"/>
      <c r="H15" s="707" t="s">
        <v>1091</v>
      </c>
      <c r="I15" s="707"/>
      <c r="J15" s="707"/>
      <c r="K15" s="707"/>
      <c r="L15" s="707"/>
      <c r="M15" s="707" t="s">
        <v>1092</v>
      </c>
      <c r="N15" s="707"/>
      <c r="O15" s="707"/>
      <c r="P15" s="707"/>
      <c r="Q15" s="707"/>
      <c r="R15" s="707" t="s">
        <v>1093</v>
      </c>
      <c r="S15" s="707"/>
      <c r="T15" s="707"/>
      <c r="U15" s="707"/>
      <c r="V15" s="707"/>
      <c r="W15" s="699" t="s">
        <v>324</v>
      </c>
      <c r="X15" s="699"/>
      <c r="Y15" s="699"/>
      <c r="Z15" s="699"/>
      <c r="AA15" s="699"/>
      <c r="AB15" s="699"/>
      <c r="AC15" s="699"/>
      <c r="AD15" s="699"/>
      <c r="AE15" s="699"/>
      <c r="AF15" s="699"/>
      <c r="AG15" s="699"/>
      <c r="AH15" s="699"/>
      <c r="AI15" s="699"/>
      <c r="AJ15" s="699"/>
    </row>
    <row r="16" spans="1:36" ht="27.75" customHeight="1">
      <c r="A16" s="706"/>
      <c r="B16" s="707"/>
      <c r="C16" s="707"/>
      <c r="D16" s="707"/>
      <c r="E16" s="707"/>
      <c r="F16" s="707"/>
      <c r="G16" s="707"/>
      <c r="H16" s="707"/>
      <c r="I16" s="707"/>
      <c r="J16" s="707"/>
      <c r="K16" s="707"/>
      <c r="L16" s="707"/>
      <c r="M16" s="707"/>
      <c r="N16" s="707"/>
      <c r="O16" s="707"/>
      <c r="P16" s="707"/>
      <c r="Q16" s="707"/>
      <c r="R16" s="707"/>
      <c r="S16" s="707"/>
      <c r="T16" s="707"/>
      <c r="U16" s="707"/>
      <c r="V16" s="707"/>
      <c r="W16" s="682" t="s">
        <v>325</v>
      </c>
      <c r="X16" s="682"/>
      <c r="Y16" s="682"/>
      <c r="Z16" s="682"/>
      <c r="AA16" s="690" t="s">
        <v>326</v>
      </c>
      <c r="AB16" s="690"/>
      <c r="AC16" s="690"/>
      <c r="AD16" s="690"/>
      <c r="AE16" s="690" t="s">
        <v>327</v>
      </c>
      <c r="AF16" s="690"/>
      <c r="AG16" s="690"/>
      <c r="AH16" s="690"/>
      <c r="AI16" s="690"/>
      <c r="AJ16" s="727" t="s">
        <v>329</v>
      </c>
    </row>
    <row r="17" spans="1:36" ht="79.5" customHeight="1">
      <c r="A17" s="125"/>
      <c r="B17" s="30" t="s">
        <v>279</v>
      </c>
      <c r="C17" s="33" t="s">
        <v>340</v>
      </c>
      <c r="D17" s="33" t="s">
        <v>341</v>
      </c>
      <c r="E17" s="33" t="s">
        <v>342</v>
      </c>
      <c r="F17" s="33" t="s">
        <v>343</v>
      </c>
      <c r="G17" s="33" t="s">
        <v>344</v>
      </c>
      <c r="H17" s="33" t="s">
        <v>340</v>
      </c>
      <c r="I17" s="33" t="s">
        <v>341</v>
      </c>
      <c r="J17" s="33" t="s">
        <v>342</v>
      </c>
      <c r="K17" s="33" t="s">
        <v>343</v>
      </c>
      <c r="L17" s="33" t="s">
        <v>344</v>
      </c>
      <c r="M17" s="33" t="s">
        <v>340</v>
      </c>
      <c r="N17" s="33" t="s">
        <v>341</v>
      </c>
      <c r="O17" s="33" t="s">
        <v>342</v>
      </c>
      <c r="P17" s="33" t="s">
        <v>343</v>
      </c>
      <c r="Q17" s="33" t="s">
        <v>344</v>
      </c>
      <c r="R17" s="33" t="s">
        <v>340</v>
      </c>
      <c r="S17" s="33" t="s">
        <v>341</v>
      </c>
      <c r="T17" s="33" t="s">
        <v>342</v>
      </c>
      <c r="U17" s="33" t="s">
        <v>343</v>
      </c>
      <c r="V17" s="33" t="s">
        <v>344</v>
      </c>
      <c r="W17" s="162" t="s">
        <v>330</v>
      </c>
      <c r="X17" s="528" t="s">
        <v>345</v>
      </c>
      <c r="Y17" s="33" t="s">
        <v>332</v>
      </c>
      <c r="Z17" s="33" t="s">
        <v>346</v>
      </c>
      <c r="AA17" s="529" t="s">
        <v>330</v>
      </c>
      <c r="AB17" s="530" t="s">
        <v>331</v>
      </c>
      <c r="AC17" s="530" t="s">
        <v>334</v>
      </c>
      <c r="AD17" s="530" t="s">
        <v>335</v>
      </c>
      <c r="AE17" s="529" t="s">
        <v>336</v>
      </c>
      <c r="AF17" s="530" t="s">
        <v>331</v>
      </c>
      <c r="AG17" s="531" t="s">
        <v>337</v>
      </c>
      <c r="AH17" s="531" t="s">
        <v>338</v>
      </c>
      <c r="AI17" s="530" t="s">
        <v>339</v>
      </c>
      <c r="AJ17" s="727"/>
    </row>
    <row r="18" spans="1:36" ht="31.5">
      <c r="A18" s="125">
        <v>1</v>
      </c>
      <c r="B18" s="30" t="s">
        <v>280</v>
      </c>
      <c r="C18" s="30"/>
      <c r="D18" s="30"/>
      <c r="E18" s="30" t="s">
        <v>347</v>
      </c>
      <c r="F18" s="30"/>
      <c r="G18" s="30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510"/>
    </row>
    <row r="19" spans="1:36" ht="31.5">
      <c r="A19" s="128" t="s">
        <v>199</v>
      </c>
      <c r="B19" s="30" t="s">
        <v>281</v>
      </c>
      <c r="C19" s="30"/>
      <c r="D19" s="30"/>
      <c r="E19" s="30"/>
      <c r="F19" s="30"/>
      <c r="G19" s="30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510"/>
    </row>
    <row r="20" spans="1:36" ht="15.75">
      <c r="A20" s="129">
        <v>1</v>
      </c>
      <c r="B20" s="39" t="s">
        <v>1094</v>
      </c>
      <c r="C20" s="39"/>
      <c r="D20" s="39"/>
      <c r="E20" s="39"/>
      <c r="F20" s="39"/>
      <c r="G20" s="39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510"/>
    </row>
    <row r="21" spans="1:36" ht="15.75">
      <c r="A21" s="129">
        <v>2</v>
      </c>
      <c r="B21" s="39" t="s">
        <v>616</v>
      </c>
      <c r="C21" s="39"/>
      <c r="D21" s="39"/>
      <c r="E21" s="39"/>
      <c r="F21" s="39"/>
      <c r="G21" s="39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510"/>
    </row>
    <row r="22" spans="1:36" ht="15.75">
      <c r="A22" s="129" t="s">
        <v>617</v>
      </c>
      <c r="B22" s="39" t="s">
        <v>617</v>
      </c>
      <c r="C22" s="39"/>
      <c r="D22" s="39"/>
      <c r="E22" s="39"/>
      <c r="F22" s="39"/>
      <c r="G22" s="39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510"/>
    </row>
    <row r="23" spans="1:36" ht="31.5">
      <c r="A23" s="125" t="s">
        <v>201</v>
      </c>
      <c r="B23" s="30" t="s">
        <v>294</v>
      </c>
      <c r="C23" s="30"/>
      <c r="D23" s="39"/>
      <c r="E23" s="39"/>
      <c r="F23" s="39"/>
      <c r="G23" s="39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510"/>
    </row>
    <row r="24" spans="1:36" ht="15.75">
      <c r="A24" s="129">
        <v>1</v>
      </c>
      <c r="B24" s="39" t="s">
        <v>615</v>
      </c>
      <c r="C24" s="39"/>
      <c r="D24" s="39"/>
      <c r="E24" s="39"/>
      <c r="F24" s="39"/>
      <c r="G24" s="39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510"/>
    </row>
    <row r="25" spans="1:36" ht="15.75">
      <c r="A25" s="129">
        <v>2</v>
      </c>
      <c r="B25" s="39" t="s">
        <v>616</v>
      </c>
      <c r="C25" s="39"/>
      <c r="D25" s="39"/>
      <c r="E25" s="39"/>
      <c r="F25" s="39"/>
      <c r="G25" s="39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510"/>
    </row>
    <row r="26" spans="1:36" ht="15.75">
      <c r="A26" s="129" t="s">
        <v>617</v>
      </c>
      <c r="B26" s="39"/>
      <c r="C26" s="39"/>
      <c r="D26" s="39"/>
      <c r="E26" s="39"/>
      <c r="F26" s="39"/>
      <c r="G26" s="39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510"/>
    </row>
    <row r="27" spans="1:36" ht="31.5">
      <c r="A27" s="125" t="s">
        <v>204</v>
      </c>
      <c r="B27" s="30" t="s">
        <v>299</v>
      </c>
      <c r="C27" s="30"/>
      <c r="D27" s="39"/>
      <c r="E27" s="39"/>
      <c r="F27" s="39"/>
      <c r="G27" s="39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510"/>
    </row>
    <row r="28" spans="1:36" ht="15.75">
      <c r="A28" s="129">
        <v>1</v>
      </c>
      <c r="B28" s="39" t="s">
        <v>615</v>
      </c>
      <c r="C28" s="39"/>
      <c r="D28" s="39"/>
      <c r="E28" s="39"/>
      <c r="F28" s="39"/>
      <c r="G28" s="39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510"/>
    </row>
    <row r="29" spans="1:36" ht="15.75">
      <c r="A29" s="129">
        <v>2</v>
      </c>
      <c r="B29" s="39" t="s">
        <v>616</v>
      </c>
      <c r="C29" s="39"/>
      <c r="D29" s="39"/>
      <c r="E29" s="39"/>
      <c r="F29" s="39"/>
      <c r="G29" s="39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510"/>
    </row>
    <row r="30" spans="1:36" ht="15.75">
      <c r="A30" s="129" t="s">
        <v>617</v>
      </c>
      <c r="B30" s="39"/>
      <c r="C30" s="39"/>
      <c r="D30" s="39"/>
      <c r="E30" s="39"/>
      <c r="F30" s="39"/>
      <c r="G30" s="39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510"/>
    </row>
    <row r="31" spans="1:36" ht="47.25">
      <c r="A31" s="125" t="s">
        <v>206</v>
      </c>
      <c r="B31" s="30" t="s">
        <v>307</v>
      </c>
      <c r="C31" s="30"/>
      <c r="D31" s="39"/>
      <c r="E31" s="39"/>
      <c r="F31" s="39"/>
      <c r="G31" s="39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510"/>
    </row>
    <row r="32" spans="1:36" ht="15.75">
      <c r="A32" s="129">
        <v>1</v>
      </c>
      <c r="B32" s="39" t="s">
        <v>615</v>
      </c>
      <c r="C32" s="39"/>
      <c r="D32" s="39"/>
      <c r="E32" s="39"/>
      <c r="F32" s="39"/>
      <c r="G32" s="39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510"/>
    </row>
    <row r="33" spans="1:36" ht="15.75">
      <c r="A33" s="129">
        <v>2</v>
      </c>
      <c r="B33" s="39" t="s">
        <v>616</v>
      </c>
      <c r="C33" s="39"/>
      <c r="D33" s="39"/>
      <c r="E33" s="39"/>
      <c r="F33" s="39"/>
      <c r="G33" s="39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510"/>
    </row>
    <row r="34" spans="1:36" ht="15.75">
      <c r="A34" s="129" t="s">
        <v>617</v>
      </c>
      <c r="B34" s="39"/>
      <c r="C34" s="39"/>
      <c r="D34" s="39"/>
      <c r="E34" s="39"/>
      <c r="F34" s="39"/>
      <c r="G34" s="39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510"/>
    </row>
    <row r="35" spans="1:36" ht="15.75">
      <c r="A35" s="125" t="s">
        <v>308</v>
      </c>
      <c r="B35" s="30" t="s">
        <v>309</v>
      </c>
      <c r="C35" s="30"/>
      <c r="D35" s="30"/>
      <c r="E35" s="30"/>
      <c r="F35" s="30"/>
      <c r="G35" s="30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510"/>
    </row>
    <row r="36" spans="1:36" ht="31.5">
      <c r="A36" s="128" t="s">
        <v>209</v>
      </c>
      <c r="B36" s="30" t="s">
        <v>281</v>
      </c>
      <c r="C36" s="30"/>
      <c r="D36" s="30"/>
      <c r="E36" s="30"/>
      <c r="F36" s="30"/>
      <c r="G36" s="30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510"/>
    </row>
    <row r="37" spans="1:36" ht="15.75">
      <c r="A37" s="129">
        <v>1</v>
      </c>
      <c r="B37" s="39" t="s">
        <v>615</v>
      </c>
      <c r="C37" s="39"/>
      <c r="D37" s="39"/>
      <c r="E37" s="39"/>
      <c r="F37" s="39"/>
      <c r="G37" s="39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510"/>
    </row>
    <row r="38" spans="1:36" ht="15.75">
      <c r="A38" s="129">
        <v>2</v>
      </c>
      <c r="B38" s="39" t="s">
        <v>616</v>
      </c>
      <c r="C38" s="39"/>
      <c r="D38" s="39"/>
      <c r="E38" s="39"/>
      <c r="F38" s="39"/>
      <c r="G38" s="39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510"/>
    </row>
    <row r="39" spans="1:36" ht="15.75">
      <c r="A39" s="129" t="s">
        <v>617</v>
      </c>
      <c r="B39" s="39"/>
      <c r="C39" s="39"/>
      <c r="D39" s="39"/>
      <c r="E39" s="39"/>
      <c r="F39" s="39"/>
      <c r="G39" s="39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510"/>
    </row>
    <row r="40" spans="1:36" ht="15.75">
      <c r="A40" s="128" t="s">
        <v>211</v>
      </c>
      <c r="B40" s="35" t="s">
        <v>312</v>
      </c>
      <c r="C40" s="35"/>
      <c r="D40" s="39"/>
      <c r="E40" s="39"/>
      <c r="F40" s="39"/>
      <c r="G40" s="39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510"/>
    </row>
    <row r="41" spans="1:36" ht="15.75">
      <c r="A41" s="129">
        <v>1</v>
      </c>
      <c r="B41" s="39" t="s">
        <v>615</v>
      </c>
      <c r="C41" s="39"/>
      <c r="D41" s="39"/>
      <c r="E41" s="39"/>
      <c r="F41" s="39"/>
      <c r="G41" s="39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510"/>
    </row>
    <row r="42" spans="1:36" ht="15.75">
      <c r="A42" s="129"/>
      <c r="B42" s="39" t="s">
        <v>654</v>
      </c>
      <c r="C42" s="39"/>
      <c r="D42" s="39"/>
      <c r="E42" s="39"/>
      <c r="F42" s="39"/>
      <c r="G42" s="39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510"/>
    </row>
    <row r="43" spans="1:36" ht="15.75">
      <c r="A43" s="129">
        <v>2</v>
      </c>
      <c r="B43" s="39" t="s">
        <v>616</v>
      </c>
      <c r="C43" s="39"/>
      <c r="D43" s="39"/>
      <c r="E43" s="39"/>
      <c r="F43" s="39"/>
      <c r="G43" s="39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510"/>
    </row>
    <row r="44" spans="1:36" ht="15.75">
      <c r="A44" s="129"/>
      <c r="B44" s="39" t="s">
        <v>654</v>
      </c>
      <c r="C44" s="39"/>
      <c r="D44" s="39"/>
      <c r="E44" s="39"/>
      <c r="F44" s="39"/>
      <c r="G44" s="39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510"/>
    </row>
    <row r="45" spans="1:36" ht="15.75">
      <c r="A45" s="129" t="s">
        <v>617</v>
      </c>
      <c r="B45" s="33"/>
      <c r="C45" s="33"/>
      <c r="D45" s="33"/>
      <c r="E45" s="33"/>
      <c r="F45" s="33"/>
      <c r="G45" s="33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510"/>
    </row>
    <row r="46" spans="1:36" ht="15.75" customHeight="1">
      <c r="A46" s="687" t="s">
        <v>313</v>
      </c>
      <c r="B46" s="687"/>
      <c r="C46" s="62"/>
      <c r="D46" s="39"/>
      <c r="E46" s="39"/>
      <c r="F46" s="39"/>
      <c r="G46" s="39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510"/>
    </row>
    <row r="47" spans="1:36" ht="31.5">
      <c r="A47" s="125"/>
      <c r="B47" s="30" t="s">
        <v>314</v>
      </c>
      <c r="C47" s="30"/>
      <c r="D47" s="39"/>
      <c r="E47" s="39"/>
      <c r="F47" s="39"/>
      <c r="G47" s="39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510"/>
    </row>
    <row r="48" spans="1:36" ht="15.75">
      <c r="A48" s="129">
        <v>1</v>
      </c>
      <c r="B48" s="39" t="s">
        <v>615</v>
      </c>
      <c r="C48" s="39"/>
      <c r="D48" s="39"/>
      <c r="E48" s="39"/>
      <c r="F48" s="39"/>
      <c r="G48" s="39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510"/>
    </row>
    <row r="49" spans="1:36" ht="15.75">
      <c r="A49" s="129">
        <v>2</v>
      </c>
      <c r="B49" s="39" t="s">
        <v>616</v>
      </c>
      <c r="C49" s="39"/>
      <c r="D49" s="39"/>
      <c r="E49" s="39"/>
      <c r="F49" s="39"/>
      <c r="G49" s="39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510"/>
    </row>
    <row r="50" spans="1:36" ht="15.75">
      <c r="A50" s="139" t="s">
        <v>617</v>
      </c>
      <c r="B50" s="140"/>
      <c r="C50" s="140"/>
      <c r="D50" s="140"/>
      <c r="E50" s="140"/>
      <c r="F50" s="140"/>
      <c r="G50" s="140"/>
      <c r="H50" s="532"/>
      <c r="I50" s="532"/>
      <c r="J50" s="532"/>
      <c r="K50" s="532"/>
      <c r="L50" s="532"/>
      <c r="M50" s="532"/>
      <c r="N50" s="532"/>
      <c r="O50" s="532"/>
      <c r="P50" s="532"/>
      <c r="Q50" s="532"/>
      <c r="R50" s="532"/>
      <c r="S50" s="532"/>
      <c r="T50" s="532"/>
      <c r="U50" s="532"/>
      <c r="V50" s="532"/>
      <c r="W50" s="532"/>
      <c r="X50" s="532"/>
      <c r="Y50" s="532"/>
      <c r="Z50" s="532"/>
      <c r="AA50" s="532"/>
      <c r="AB50" s="532"/>
      <c r="AC50" s="532"/>
      <c r="AD50" s="532"/>
      <c r="AE50" s="532"/>
      <c r="AF50" s="532"/>
      <c r="AG50" s="532"/>
      <c r="AH50" s="532"/>
      <c r="AI50" s="532"/>
      <c r="AJ50" s="512"/>
    </row>
    <row r="51" spans="1:7" ht="15.75">
      <c r="A51" s="47"/>
      <c r="B51" s="48"/>
      <c r="C51" s="48"/>
      <c r="D51" s="48"/>
      <c r="E51" s="49"/>
      <c r="F51" s="49"/>
      <c r="G51" s="49"/>
    </row>
    <row r="52" spans="1:21" ht="15.75" customHeight="1">
      <c r="A52" s="52"/>
      <c r="B52" s="689" t="s">
        <v>618</v>
      </c>
      <c r="C52" s="689"/>
      <c r="D52" s="689"/>
      <c r="E52" s="689"/>
      <c r="F52" s="689"/>
      <c r="G52" s="689"/>
      <c r="H52" s="689"/>
      <c r="I52" s="689"/>
      <c r="J52" s="689"/>
      <c r="K52" s="689"/>
      <c r="L52" s="689"/>
      <c r="M52" s="689"/>
      <c r="N52" s="689"/>
      <c r="O52" s="689"/>
      <c r="P52" s="689"/>
      <c r="Q52" s="689"/>
      <c r="R52" s="689"/>
      <c r="S52" s="689"/>
      <c r="T52" s="689"/>
      <c r="U52" s="689"/>
    </row>
    <row r="53" spans="1:21" ht="15.75">
      <c r="A53" s="52"/>
      <c r="B53" s="1" t="s">
        <v>1095</v>
      </c>
      <c r="E53" s="1"/>
      <c r="F53" s="1"/>
      <c r="G53" s="1"/>
      <c r="S53" s="27"/>
      <c r="T53" s="27"/>
      <c r="U53" s="27"/>
    </row>
    <row r="54" spans="2:7" ht="15.75">
      <c r="B54" s="533"/>
      <c r="C54" s="533"/>
      <c r="D54" s="533"/>
      <c r="E54" s="533"/>
      <c r="F54" s="533"/>
      <c r="G54" s="533"/>
    </row>
    <row r="55" spans="1:11" ht="15.75" customHeight="1">
      <c r="A55" s="52"/>
      <c r="B55" s="717"/>
      <c r="C55" s="717"/>
      <c r="D55" s="717"/>
      <c r="E55" s="717"/>
      <c r="F55" s="717"/>
      <c r="G55" s="717"/>
      <c r="H55" s="717"/>
      <c r="I55" s="717"/>
      <c r="J55" s="717"/>
      <c r="K55" s="717"/>
    </row>
    <row r="56" spans="1:7" ht="15.75" customHeight="1">
      <c r="A56" s="52"/>
      <c r="B56" s="689"/>
      <c r="C56" s="689"/>
      <c r="D56" s="689"/>
      <c r="E56" s="689"/>
      <c r="F56" s="689"/>
      <c r="G56" s="689"/>
    </row>
    <row r="57" ht="15.75">
      <c r="A57" s="52"/>
    </row>
    <row r="58" ht="15.75">
      <c r="A58" s="52"/>
    </row>
    <row r="59" spans="5:7" ht="33.75" customHeight="1">
      <c r="E59" s="1"/>
      <c r="F59" s="1"/>
      <c r="G59" s="1"/>
    </row>
    <row r="60" ht="15.75">
      <c r="A60" s="27"/>
    </row>
  </sheetData>
  <sheetProtection selectLockedCells="1" selectUnlockedCells="1"/>
  <mergeCells count="16">
    <mergeCell ref="A6:AJ6"/>
    <mergeCell ref="A15:A16"/>
    <mergeCell ref="B15:B16"/>
    <mergeCell ref="C15:G16"/>
    <mergeCell ref="H15:L16"/>
    <mergeCell ref="M15:Q16"/>
    <mergeCell ref="R15:V16"/>
    <mergeCell ref="W15:AJ15"/>
    <mergeCell ref="W16:Z16"/>
    <mergeCell ref="AA16:AD16"/>
    <mergeCell ref="B55:K55"/>
    <mergeCell ref="B56:G56"/>
    <mergeCell ref="AE16:AI16"/>
    <mergeCell ref="AJ16:AJ17"/>
    <mergeCell ref="A46:B46"/>
    <mergeCell ref="B52:U52"/>
  </mergeCells>
  <printOptions/>
  <pageMargins left="0.425" right="0.425" top="0.9881944444444445" bottom="0.39791666666666664" header="0.5118055555555555" footer="0.5118055555555555"/>
  <pageSetup fitToHeight="1" fitToWidth="1"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="75" zoomScaleNormal="75" zoomScaleSheetLayoutView="80" zoomScalePageLayoutView="0" workbookViewId="0" topLeftCell="A1">
      <pane ySplit="12" topLeftCell="BM13" activePane="bottomLeft" state="frozen"/>
      <selection pane="topLeft" activeCell="A1" sqref="A1"/>
      <selection pane="bottomLeft" activeCell="C12" sqref="A12:IV15"/>
    </sheetView>
  </sheetViews>
  <sheetFormatPr defaultColWidth="8.796875" defaultRowHeight="15"/>
  <cols>
    <col min="1" max="1" width="9" style="643" customWidth="1"/>
    <col min="2" max="2" width="56.8984375" style="27" customWidth="1"/>
    <col min="3" max="3" width="13.69921875" style="27" customWidth="1"/>
    <col min="4" max="4" width="22.19921875" style="27" customWidth="1"/>
    <col min="5" max="5" width="19.8984375" style="27" customWidth="1"/>
    <col min="6" max="6" width="17.19921875" style="27" customWidth="1"/>
    <col min="7" max="7" width="21.09765625" style="27" customWidth="1"/>
    <col min="8" max="8" width="0" style="27" hidden="1" customWidth="1"/>
    <col min="9" max="9" width="10.59765625" style="27" hidden="1" customWidth="1"/>
    <col min="10" max="10" width="22.69921875" style="27" customWidth="1"/>
    <col min="11" max="11" width="19.8984375" style="27" customWidth="1"/>
    <col min="12" max="12" width="24.5" style="27" customWidth="1"/>
    <col min="13" max="13" width="28.8984375" style="27" customWidth="1"/>
    <col min="14" max="15" width="9" style="643" customWidth="1"/>
    <col min="16" max="16" width="14.59765625" style="27" customWidth="1"/>
    <col min="17" max="16384" width="9" style="643" customWidth="1"/>
  </cols>
  <sheetData>
    <row r="1" spans="1:13" ht="37.5" customHeight="1">
      <c r="A1" s="681" t="s">
        <v>200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</row>
    <row r="2" spans="1:13" ht="18" customHeight="1">
      <c r="A2" s="614"/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52" t="s">
        <v>256</v>
      </c>
    </row>
    <row r="3" spans="1:13" ht="19.5" customHeight="1">
      <c r="A3" s="614"/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51" t="s">
        <v>32</v>
      </c>
    </row>
    <row r="4" spans="1:13" ht="19.5" customHeight="1">
      <c r="A4" s="614"/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51" t="s">
        <v>970</v>
      </c>
    </row>
    <row r="5" spans="1:13" ht="19.5" customHeight="1">
      <c r="A5" s="614"/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50" t="s">
        <v>31</v>
      </c>
    </row>
    <row r="6" spans="1:13" ht="21.75" customHeight="1">
      <c r="A6" s="614"/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51" t="s">
        <v>30</v>
      </c>
    </row>
    <row r="7" spans="1:13" ht="18" customHeight="1">
      <c r="A7" s="614"/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650" t="s">
        <v>261</v>
      </c>
    </row>
    <row r="8" spans="1:12" ht="18.75" customHeight="1">
      <c r="A8" s="614"/>
      <c r="B8" s="614"/>
      <c r="C8" s="614"/>
      <c r="D8" s="614"/>
      <c r="E8" s="614"/>
      <c r="F8" s="614"/>
      <c r="G8" s="614"/>
      <c r="H8" s="614"/>
      <c r="I8" s="614"/>
      <c r="J8" s="614"/>
      <c r="K8" s="614"/>
      <c r="L8" s="614"/>
    </row>
    <row r="9" ht="21.75" customHeight="1">
      <c r="M9" s="27" t="s">
        <v>39</v>
      </c>
    </row>
    <row r="10" spans="1:13" ht="21" customHeight="1">
      <c r="A10" s="682" t="s">
        <v>262</v>
      </c>
      <c r="B10" s="682" t="s">
        <v>263</v>
      </c>
      <c r="C10" s="682" t="s">
        <v>264</v>
      </c>
      <c r="D10" s="682" t="s">
        <v>265</v>
      </c>
      <c r="E10" s="682" t="s">
        <v>266</v>
      </c>
      <c r="F10" s="682" t="s">
        <v>267</v>
      </c>
      <c r="G10" s="682" t="s">
        <v>268</v>
      </c>
      <c r="H10" s="682" t="s">
        <v>269</v>
      </c>
      <c r="I10" s="682" t="s">
        <v>270</v>
      </c>
      <c r="J10" s="674" t="s">
        <v>271</v>
      </c>
      <c r="K10" s="674"/>
      <c r="L10" s="674" t="s">
        <v>272</v>
      </c>
      <c r="M10" s="674"/>
    </row>
    <row r="11" spans="1:13" ht="40.5" customHeight="1">
      <c r="A11" s="682"/>
      <c r="B11" s="682"/>
      <c r="C11" s="682"/>
      <c r="D11" s="682"/>
      <c r="E11" s="682"/>
      <c r="F11" s="682"/>
      <c r="G11" s="682"/>
      <c r="H11" s="682"/>
      <c r="I11" s="682"/>
      <c r="J11" s="30" t="s">
        <v>273</v>
      </c>
      <c r="K11" s="30" t="s">
        <v>274</v>
      </c>
      <c r="L11" s="30" t="s">
        <v>275</v>
      </c>
      <c r="M11" s="30" t="s">
        <v>274</v>
      </c>
    </row>
    <row r="12" spans="1:13" ht="31.5">
      <c r="A12" s="682"/>
      <c r="B12" s="682"/>
      <c r="C12" s="33" t="s">
        <v>276</v>
      </c>
      <c r="D12" s="33" t="s">
        <v>277</v>
      </c>
      <c r="E12" s="682"/>
      <c r="F12" s="682"/>
      <c r="G12" s="33" t="s">
        <v>278</v>
      </c>
      <c r="H12" s="33" t="s">
        <v>278</v>
      </c>
      <c r="I12" s="33" t="s">
        <v>278</v>
      </c>
      <c r="J12" s="33" t="s">
        <v>277</v>
      </c>
      <c r="K12" s="33" t="s">
        <v>277</v>
      </c>
      <c r="L12" s="33" t="s">
        <v>278</v>
      </c>
      <c r="M12" s="33" t="s">
        <v>278</v>
      </c>
    </row>
    <row r="13" spans="1:16" ht="15.75">
      <c r="A13" s="30"/>
      <c r="B13" s="30" t="s">
        <v>279</v>
      </c>
      <c r="C13" s="30"/>
      <c r="D13" s="33"/>
      <c r="E13" s="30"/>
      <c r="F13" s="30"/>
      <c r="G13" s="33"/>
      <c r="H13" s="33"/>
      <c r="I13" s="30"/>
      <c r="J13" s="33"/>
      <c r="K13" s="33"/>
      <c r="L13" s="34">
        <f>L15+L22+L30+L25</f>
        <v>81.681193</v>
      </c>
      <c r="M13" s="34">
        <f>M15+M22+M30+M25</f>
        <v>81.681193</v>
      </c>
      <c r="O13" s="41"/>
      <c r="P13" s="42"/>
    </row>
    <row r="14" spans="1:13" ht="15.75">
      <c r="A14" s="30">
        <v>1</v>
      </c>
      <c r="B14" s="35" t="s">
        <v>280</v>
      </c>
      <c r="C14" s="30"/>
      <c r="D14" s="30"/>
      <c r="E14" s="30"/>
      <c r="F14" s="30"/>
      <c r="G14" s="30"/>
      <c r="H14" s="30"/>
      <c r="I14" s="30"/>
      <c r="J14" s="33"/>
      <c r="K14" s="33"/>
      <c r="L14" s="36"/>
      <c r="M14" s="36"/>
    </row>
    <row r="15" spans="1:16" ht="31.5">
      <c r="A15" s="37" t="s">
        <v>199</v>
      </c>
      <c r="B15" s="35" t="s">
        <v>281</v>
      </c>
      <c r="C15" s="30"/>
      <c r="D15" s="30"/>
      <c r="E15" s="30"/>
      <c r="F15" s="30"/>
      <c r="G15" s="30"/>
      <c r="H15" s="30"/>
      <c r="I15" s="30"/>
      <c r="J15" s="33"/>
      <c r="K15" s="33"/>
      <c r="L15" s="34">
        <f>L19+L20+L16+L18+L17+L21</f>
        <v>57.077484999999996</v>
      </c>
      <c r="M15" s="34">
        <f>M19+M20+M16+M18+M17+M21</f>
        <v>57.077484999999996</v>
      </c>
      <c r="N15" s="649"/>
      <c r="O15" s="41"/>
      <c r="P15" s="42"/>
    </row>
    <row r="16" spans="1:16" s="27" customFormat="1" ht="31.5">
      <c r="A16" s="37" t="s">
        <v>282</v>
      </c>
      <c r="B16" s="38" t="s">
        <v>283</v>
      </c>
      <c r="C16" s="39"/>
      <c r="D16" s="33"/>
      <c r="E16" s="33">
        <v>2013</v>
      </c>
      <c r="F16" s="33">
        <v>2013</v>
      </c>
      <c r="G16" s="40">
        <f>2.59*1.18</f>
        <v>3.0561999999999996</v>
      </c>
      <c r="H16" s="39"/>
      <c r="I16" s="39"/>
      <c r="J16" s="33"/>
      <c r="K16" s="33"/>
      <c r="L16" s="40">
        <f>2.59*1.18</f>
        <v>3.0561999999999996</v>
      </c>
      <c r="M16" s="40">
        <f aca="true" t="shared" si="0" ref="M16:M21">SUM(L16:L16)</f>
        <v>3.0561999999999996</v>
      </c>
      <c r="N16" s="648"/>
      <c r="O16" s="41"/>
      <c r="P16" s="42"/>
    </row>
    <row r="17" spans="1:16" s="27" customFormat="1" ht="31.5">
      <c r="A17" s="37" t="s">
        <v>284</v>
      </c>
      <c r="B17" s="35" t="s">
        <v>285</v>
      </c>
      <c r="C17" s="39"/>
      <c r="D17" s="36">
        <v>6.4</v>
      </c>
      <c r="E17" s="33">
        <v>2013</v>
      </c>
      <c r="F17" s="33">
        <v>2013</v>
      </c>
      <c r="G17" s="40">
        <f>4.36554*1.18</f>
        <v>5.1513372</v>
      </c>
      <c r="H17" s="39"/>
      <c r="I17" s="39"/>
      <c r="J17" s="36">
        <v>6.4</v>
      </c>
      <c r="K17" s="36">
        <v>6.4</v>
      </c>
      <c r="L17" s="40">
        <f>4.36554*1.18</f>
        <v>5.1513372</v>
      </c>
      <c r="M17" s="40">
        <f t="shared" si="0"/>
        <v>5.1513372</v>
      </c>
      <c r="O17" s="41"/>
      <c r="P17" s="42"/>
    </row>
    <row r="18" spans="1:16" s="27" customFormat="1" ht="15.75">
      <c r="A18" s="37" t="s">
        <v>286</v>
      </c>
      <c r="B18" s="38" t="s">
        <v>287</v>
      </c>
      <c r="C18" s="39"/>
      <c r="D18" s="33"/>
      <c r="E18" s="33">
        <v>2013</v>
      </c>
      <c r="F18" s="33">
        <v>2013</v>
      </c>
      <c r="G18" s="43">
        <f>3.7289*1.18</f>
        <v>4.4001019999999995</v>
      </c>
      <c r="H18" s="39"/>
      <c r="I18" s="39"/>
      <c r="J18" s="33"/>
      <c r="K18" s="33"/>
      <c r="L18" s="43">
        <f>3.7289*1.18</f>
        <v>4.4001019999999995</v>
      </c>
      <c r="M18" s="40">
        <f t="shared" si="0"/>
        <v>4.4001019999999995</v>
      </c>
      <c r="O18" s="41"/>
      <c r="P18" s="42"/>
    </row>
    <row r="19" spans="1:16" s="27" customFormat="1" ht="15.75">
      <c r="A19" s="37" t="s">
        <v>288</v>
      </c>
      <c r="B19" s="38" t="s">
        <v>289</v>
      </c>
      <c r="C19" s="39"/>
      <c r="D19" s="40">
        <v>3.73</v>
      </c>
      <c r="E19" s="33">
        <v>2013</v>
      </c>
      <c r="F19" s="33">
        <v>2013</v>
      </c>
      <c r="G19" s="43">
        <f>4.6*1.18</f>
        <v>5.427999999999999</v>
      </c>
      <c r="H19" s="39"/>
      <c r="I19" s="39"/>
      <c r="J19" s="40">
        <v>3.73</v>
      </c>
      <c r="K19" s="40">
        <v>3.73</v>
      </c>
      <c r="L19" s="43">
        <f>4.6*1.18</f>
        <v>5.427999999999999</v>
      </c>
      <c r="M19" s="40">
        <f t="shared" si="0"/>
        <v>5.427999999999999</v>
      </c>
      <c r="O19" s="41"/>
      <c r="P19" s="42"/>
    </row>
    <row r="20" spans="1:16" s="27" customFormat="1" ht="31.5">
      <c r="A20" s="37" t="s">
        <v>290</v>
      </c>
      <c r="B20" s="35" t="s">
        <v>291</v>
      </c>
      <c r="C20" s="39"/>
      <c r="D20" s="40">
        <v>37.854</v>
      </c>
      <c r="E20" s="33">
        <v>2013</v>
      </c>
      <c r="F20" s="33">
        <v>2013</v>
      </c>
      <c r="G20" s="40">
        <f>26.3867*1.18</f>
        <v>31.136306</v>
      </c>
      <c r="H20" s="39"/>
      <c r="I20" s="39"/>
      <c r="J20" s="40">
        <v>37.854</v>
      </c>
      <c r="K20" s="40">
        <v>37.854</v>
      </c>
      <c r="L20" s="40">
        <f>26.3867*1.18</f>
        <v>31.136306</v>
      </c>
      <c r="M20" s="40">
        <f t="shared" si="0"/>
        <v>31.136306</v>
      </c>
      <c r="O20" s="41"/>
      <c r="P20" s="42"/>
    </row>
    <row r="21" spans="1:16" s="27" customFormat="1" ht="15.75">
      <c r="A21" s="37" t="s">
        <v>292</v>
      </c>
      <c r="B21" s="38" t="s">
        <v>293</v>
      </c>
      <c r="C21" s="39"/>
      <c r="D21" s="33"/>
      <c r="E21" s="33">
        <v>2013</v>
      </c>
      <c r="F21" s="33">
        <v>2013</v>
      </c>
      <c r="G21" s="40">
        <f>6.69961*1.18</f>
        <v>7.9055398</v>
      </c>
      <c r="H21" s="39"/>
      <c r="I21" s="39"/>
      <c r="J21" s="33"/>
      <c r="K21" s="33"/>
      <c r="L21" s="40">
        <f>6.69961*1.18</f>
        <v>7.9055398</v>
      </c>
      <c r="M21" s="40">
        <f t="shared" si="0"/>
        <v>7.9055398</v>
      </c>
      <c r="O21" s="41"/>
      <c r="P21" s="42"/>
    </row>
    <row r="22" spans="1:15" s="27" customFormat="1" ht="31.5">
      <c r="A22" s="30" t="s">
        <v>201</v>
      </c>
      <c r="B22" s="35" t="s">
        <v>294</v>
      </c>
      <c r="C22" s="39"/>
      <c r="D22" s="33"/>
      <c r="E22" s="33"/>
      <c r="F22" s="33"/>
      <c r="G22" s="34">
        <f>SUM(G23:G24)</f>
        <v>3.2154999999999996</v>
      </c>
      <c r="H22" s="39"/>
      <c r="I22" s="39"/>
      <c r="J22" s="33"/>
      <c r="K22" s="33"/>
      <c r="L22" s="34">
        <f>SUM(L23:L24)</f>
        <v>3.2154999999999996</v>
      </c>
      <c r="M22" s="34">
        <f>SUM(M23:M24)</f>
        <v>3.2154999999999996</v>
      </c>
      <c r="O22" s="41"/>
    </row>
    <row r="23" spans="1:13" ht="31.5">
      <c r="A23" s="30" t="s">
        <v>295</v>
      </c>
      <c r="B23" s="85" t="s">
        <v>296</v>
      </c>
      <c r="C23" s="39"/>
      <c r="D23" s="33" t="s">
        <v>29</v>
      </c>
      <c r="E23" s="33">
        <v>2013</v>
      </c>
      <c r="F23" s="33">
        <v>2013</v>
      </c>
      <c r="G23" s="40">
        <f>1.025*1.18</f>
        <v>1.2094999999999998</v>
      </c>
      <c r="H23" s="39"/>
      <c r="I23" s="39"/>
      <c r="J23" s="33" t="s">
        <v>29</v>
      </c>
      <c r="K23" s="33" t="s">
        <v>29</v>
      </c>
      <c r="L23" s="40">
        <f>1.025*1.18</f>
        <v>1.2094999999999998</v>
      </c>
      <c r="M23" s="40">
        <f>SUM(L23:L23)</f>
        <v>1.2094999999999998</v>
      </c>
    </row>
    <row r="24" spans="1:13" ht="31.5">
      <c r="A24" s="30" t="s">
        <v>297</v>
      </c>
      <c r="B24" s="35" t="s">
        <v>298</v>
      </c>
      <c r="C24" s="39"/>
      <c r="D24" s="33" t="s">
        <v>28</v>
      </c>
      <c r="E24" s="33">
        <v>2013</v>
      </c>
      <c r="F24" s="33">
        <v>2013</v>
      </c>
      <c r="G24" s="40">
        <f>1.7*1.18</f>
        <v>2.006</v>
      </c>
      <c r="H24" s="60"/>
      <c r="I24" s="39"/>
      <c r="J24" s="33" t="s">
        <v>28</v>
      </c>
      <c r="K24" s="33" t="s">
        <v>28</v>
      </c>
      <c r="L24" s="40">
        <f>1.7*1.18</f>
        <v>2.006</v>
      </c>
      <c r="M24" s="40">
        <f>SUM(L24:L24)</f>
        <v>2.006</v>
      </c>
    </row>
    <row r="25" spans="1:15" ht="15.75">
      <c r="A25" s="30" t="s">
        <v>204</v>
      </c>
      <c r="B25" s="35" t="s">
        <v>299</v>
      </c>
      <c r="C25" s="39"/>
      <c r="D25" s="33"/>
      <c r="E25" s="33"/>
      <c r="F25" s="33"/>
      <c r="G25" s="34">
        <f>SUM(G26:G28)</f>
        <v>8.932599999999999</v>
      </c>
      <c r="H25" s="39"/>
      <c r="I25" s="39"/>
      <c r="J25" s="33"/>
      <c r="K25" s="33"/>
      <c r="L25" s="34">
        <f>SUM(L26:L28)</f>
        <v>8.932599999999999</v>
      </c>
      <c r="M25" s="34">
        <f>SUM(M26:M28)</f>
        <v>8.932599999999999</v>
      </c>
      <c r="O25" s="41"/>
    </row>
    <row r="26" spans="1:13" ht="47.25">
      <c r="A26" s="30" t="s">
        <v>300</v>
      </c>
      <c r="B26" s="85" t="s">
        <v>301</v>
      </c>
      <c r="C26" s="39"/>
      <c r="D26" s="33" t="s">
        <v>302</v>
      </c>
      <c r="E26" s="33">
        <v>2013</v>
      </c>
      <c r="F26" s="33">
        <v>2013</v>
      </c>
      <c r="G26" s="40">
        <f>2.044*1.18</f>
        <v>2.41192</v>
      </c>
      <c r="H26" s="39"/>
      <c r="I26" s="39"/>
      <c r="J26" s="33" t="s">
        <v>302</v>
      </c>
      <c r="K26" s="33" t="s">
        <v>302</v>
      </c>
      <c r="L26" s="40">
        <f>2.044*1.18</f>
        <v>2.41192</v>
      </c>
      <c r="M26" s="40">
        <f>SUM(L26:L26)</f>
        <v>2.41192</v>
      </c>
    </row>
    <row r="27" spans="1:13" ht="31.5">
      <c r="A27" s="30" t="s">
        <v>303</v>
      </c>
      <c r="B27" s="85" t="s">
        <v>304</v>
      </c>
      <c r="C27" s="39"/>
      <c r="D27" s="33" t="s">
        <v>27</v>
      </c>
      <c r="E27" s="33">
        <v>2013</v>
      </c>
      <c r="F27" s="33">
        <v>2013</v>
      </c>
      <c r="G27" s="40">
        <f>1.826*1.18</f>
        <v>2.15468</v>
      </c>
      <c r="H27" s="39"/>
      <c r="I27" s="39"/>
      <c r="J27" s="33" t="s">
        <v>26</v>
      </c>
      <c r="K27" s="33" t="s">
        <v>26</v>
      </c>
      <c r="L27" s="40">
        <f>1.826*1.18</f>
        <v>2.15468</v>
      </c>
      <c r="M27" s="40">
        <f>SUM(L27:L27)</f>
        <v>2.15468</v>
      </c>
    </row>
    <row r="28" spans="1:13" ht="31.5">
      <c r="A28" s="30" t="s">
        <v>305</v>
      </c>
      <c r="B28" s="85" t="s">
        <v>306</v>
      </c>
      <c r="C28" s="39"/>
      <c r="D28" s="33"/>
      <c r="E28" s="33">
        <v>2013</v>
      </c>
      <c r="F28" s="33">
        <v>2013</v>
      </c>
      <c r="G28" s="36">
        <f>3.7*1.18</f>
        <v>4.366</v>
      </c>
      <c r="H28" s="39"/>
      <c r="I28" s="39"/>
      <c r="J28" s="33"/>
      <c r="K28" s="33"/>
      <c r="L28" s="36">
        <f>3.7*1.18</f>
        <v>4.366</v>
      </c>
      <c r="M28" s="40">
        <f>SUM(L28:L28)</f>
        <v>4.366</v>
      </c>
    </row>
    <row r="29" spans="1:13" ht="33.75" customHeight="1">
      <c r="A29" s="30" t="s">
        <v>206</v>
      </c>
      <c r="B29" s="35" t="s">
        <v>307</v>
      </c>
      <c r="C29" s="39"/>
      <c r="D29" s="33"/>
      <c r="E29" s="33"/>
      <c r="F29" s="33"/>
      <c r="G29" s="36"/>
      <c r="H29" s="39"/>
      <c r="I29" s="39"/>
      <c r="J29" s="33"/>
      <c r="K29" s="33"/>
      <c r="L29" s="36"/>
      <c r="M29" s="36"/>
    </row>
    <row r="30" spans="1:15" ht="15.75">
      <c r="A30" s="30" t="s">
        <v>308</v>
      </c>
      <c r="B30" s="35" t="s">
        <v>309</v>
      </c>
      <c r="C30" s="30"/>
      <c r="D30" s="34"/>
      <c r="E30" s="30"/>
      <c r="F30" s="30"/>
      <c r="G30" s="34">
        <f>G32</f>
        <v>12.455607999999998</v>
      </c>
      <c r="H30" s="34"/>
      <c r="I30" s="34"/>
      <c r="J30" s="34"/>
      <c r="K30" s="34"/>
      <c r="L30" s="34">
        <f>L32</f>
        <v>12.455607999999998</v>
      </c>
      <c r="M30" s="34">
        <f>M32</f>
        <v>12.455607999999998</v>
      </c>
      <c r="O30" s="41"/>
    </row>
    <row r="31" spans="1:13" ht="31.5">
      <c r="A31" s="37" t="s">
        <v>209</v>
      </c>
      <c r="B31" s="35" t="s">
        <v>281</v>
      </c>
      <c r="C31" s="30"/>
      <c r="D31" s="33"/>
      <c r="E31" s="30"/>
      <c r="F31" s="30"/>
      <c r="G31" s="36"/>
      <c r="H31" s="30"/>
      <c r="I31" s="30"/>
      <c r="J31" s="33"/>
      <c r="K31" s="33"/>
      <c r="L31" s="36"/>
      <c r="M31" s="36"/>
    </row>
    <row r="32" spans="1:15" ht="48.75" customHeight="1">
      <c r="A32" s="45" t="s">
        <v>310</v>
      </c>
      <c r="B32" s="38" t="s">
        <v>44</v>
      </c>
      <c r="C32" s="39"/>
      <c r="D32" s="40"/>
      <c r="E32" s="33"/>
      <c r="F32" s="33"/>
      <c r="G32" s="40">
        <f>G33+G34+G35</f>
        <v>12.455607999999998</v>
      </c>
      <c r="H32" s="39"/>
      <c r="I32" s="39"/>
      <c r="J32" s="40"/>
      <c r="K32" s="40"/>
      <c r="L32" s="40">
        <f>L33+L34+L35</f>
        <v>12.455607999999998</v>
      </c>
      <c r="M32" s="40">
        <f>SUM(L32:L32)</f>
        <v>12.455607999999998</v>
      </c>
      <c r="O32" s="647"/>
    </row>
    <row r="33" spans="1:13" ht="15.75">
      <c r="A33" s="37"/>
      <c r="B33" s="38" t="s">
        <v>40</v>
      </c>
      <c r="C33" s="39"/>
      <c r="D33" s="33">
        <v>3.26</v>
      </c>
      <c r="E33" s="33">
        <v>2013</v>
      </c>
      <c r="F33" s="33">
        <v>2013</v>
      </c>
      <c r="G33" s="40">
        <f>7.5914*1.18</f>
        <v>8.957851999999999</v>
      </c>
      <c r="H33" s="39"/>
      <c r="I33" s="39"/>
      <c r="J33" s="33">
        <v>3.26</v>
      </c>
      <c r="K33" s="33">
        <v>3.26</v>
      </c>
      <c r="L33" s="40">
        <f>7.5914*1.18</f>
        <v>8.957851999999999</v>
      </c>
      <c r="M33" s="40">
        <f>SUM(L33:L33)</f>
        <v>8.957851999999999</v>
      </c>
    </row>
    <row r="34" spans="1:15" ht="15.75">
      <c r="A34" s="37"/>
      <c r="B34" s="38" t="s">
        <v>49</v>
      </c>
      <c r="C34" s="39"/>
      <c r="D34" s="33">
        <v>2.802</v>
      </c>
      <c r="E34" s="33">
        <v>2013</v>
      </c>
      <c r="F34" s="33">
        <v>2013</v>
      </c>
      <c r="G34" s="40">
        <f>2.8812*1.18</f>
        <v>3.399816</v>
      </c>
      <c r="H34" s="39"/>
      <c r="I34" s="39"/>
      <c r="J34" s="33">
        <v>2.802</v>
      </c>
      <c r="K34" s="33">
        <v>2.802</v>
      </c>
      <c r="L34" s="40">
        <f>2.8812*1.18</f>
        <v>3.399816</v>
      </c>
      <c r="M34" s="40">
        <f>SUM(L34:L34)</f>
        <v>3.399816</v>
      </c>
      <c r="O34" s="647"/>
    </row>
    <row r="35" spans="1:15" ht="15.75">
      <c r="A35" s="37"/>
      <c r="B35" s="35" t="s">
        <v>41</v>
      </c>
      <c r="C35" s="39"/>
      <c r="D35" s="33"/>
      <c r="E35" s="33">
        <v>2013</v>
      </c>
      <c r="F35" s="33">
        <v>2013</v>
      </c>
      <c r="G35" s="40">
        <f>0.083*1.18</f>
        <v>0.09794</v>
      </c>
      <c r="H35" s="39"/>
      <c r="I35" s="39"/>
      <c r="J35" s="33"/>
      <c r="K35" s="33"/>
      <c r="L35" s="40">
        <f>0.083*1.18</f>
        <v>0.09794</v>
      </c>
      <c r="M35" s="40">
        <f>SUM(L35:L35)</f>
        <v>0.09794</v>
      </c>
      <c r="O35" s="647"/>
    </row>
    <row r="36" spans="1:13" ht="15" customHeight="1">
      <c r="A36" s="677" t="s">
        <v>313</v>
      </c>
      <c r="B36" s="677"/>
      <c r="C36" s="39"/>
      <c r="D36" s="39"/>
      <c r="E36" s="39"/>
      <c r="F36" s="39"/>
      <c r="G36" s="39"/>
      <c r="H36" s="39"/>
      <c r="I36" s="39"/>
      <c r="J36" s="33"/>
      <c r="K36" s="33"/>
      <c r="L36" s="33"/>
      <c r="M36" s="33"/>
    </row>
    <row r="37" spans="1:13" ht="15.75">
      <c r="A37" s="30"/>
      <c r="B37" s="35" t="s">
        <v>314</v>
      </c>
      <c r="C37" s="39"/>
      <c r="D37" s="39"/>
      <c r="E37" s="39"/>
      <c r="F37" s="39"/>
      <c r="G37" s="39"/>
      <c r="H37" s="39"/>
      <c r="I37" s="39"/>
      <c r="J37" s="33"/>
      <c r="K37" s="33"/>
      <c r="L37" s="33"/>
      <c r="M37" s="33"/>
    </row>
    <row r="38" spans="1:13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.75">
      <c r="A39" s="9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98"/>
      <c r="M39" s="98"/>
    </row>
    <row r="40" spans="1:8" ht="16.5" customHeight="1">
      <c r="A40" s="50"/>
      <c r="B40" s="51" t="s">
        <v>315</v>
      </c>
      <c r="C40" s="51"/>
      <c r="D40" s="51"/>
      <c r="E40" s="51"/>
      <c r="F40" s="51"/>
      <c r="G40" s="51"/>
      <c r="H40" s="51"/>
    </row>
    <row r="41" spans="1:8" ht="15.75">
      <c r="A41" s="102"/>
      <c r="B41" s="51" t="s">
        <v>316</v>
      </c>
      <c r="C41" s="51"/>
      <c r="D41" s="51"/>
      <c r="E41" s="51"/>
      <c r="F41" s="51"/>
      <c r="G41" s="51"/>
      <c r="H41" s="51"/>
    </row>
    <row r="42" spans="1:8" ht="15.75">
      <c r="A42" s="102"/>
      <c r="B42" s="53" t="s">
        <v>317</v>
      </c>
      <c r="C42" s="51"/>
      <c r="D42" s="51"/>
      <c r="E42" s="51"/>
      <c r="F42" s="51"/>
      <c r="G42" s="51"/>
      <c r="H42" s="51"/>
    </row>
    <row r="43" spans="2:13" ht="15.75" customHeight="1">
      <c r="B43" s="675" t="s">
        <v>318</v>
      </c>
      <c r="C43" s="675"/>
      <c r="D43" s="675"/>
      <c r="E43" s="675"/>
      <c r="F43" s="675"/>
      <c r="G43" s="675"/>
      <c r="H43" s="675"/>
      <c r="L43" s="645"/>
      <c r="M43" s="644"/>
    </row>
    <row r="44" spans="2:13" ht="15" customHeight="1">
      <c r="B44" s="676" t="s">
        <v>319</v>
      </c>
      <c r="C44" s="676"/>
      <c r="D44" s="676"/>
      <c r="E44" s="676"/>
      <c r="F44" s="646"/>
      <c r="G44" s="646"/>
      <c r="H44" s="646"/>
      <c r="L44" s="645"/>
      <c r="M44" s="644"/>
    </row>
    <row r="45" spans="1:8" ht="15.75" customHeight="1">
      <c r="A45" s="102"/>
      <c r="B45" s="100"/>
      <c r="C45" s="100"/>
      <c r="D45" s="100"/>
      <c r="E45" s="100"/>
      <c r="F45" s="100"/>
      <c r="G45" s="100"/>
      <c r="H45" s="100"/>
    </row>
  </sheetData>
  <sheetProtection selectLockedCells="1" selectUnlockedCells="1"/>
  <mergeCells count="15">
    <mergeCell ref="L10:M10"/>
    <mergeCell ref="J10:K10"/>
    <mergeCell ref="B43:H43"/>
    <mergeCell ref="B44:E44"/>
    <mergeCell ref="A36:B36"/>
    <mergeCell ref="A1:M1"/>
    <mergeCell ref="A10:A12"/>
    <mergeCell ref="B10:B12"/>
    <mergeCell ref="C10:C11"/>
    <mergeCell ref="D10:D11"/>
    <mergeCell ref="E10:E12"/>
    <mergeCell ref="F10:F12"/>
    <mergeCell ref="G10:G11"/>
    <mergeCell ref="H10:H11"/>
    <mergeCell ref="I10:I11"/>
  </mergeCells>
  <printOptions/>
  <pageMargins left="0.91" right="0.2902777777777778" top="0.39375" bottom="0.39375" header="0.5118055555555555" footer="0.5118055555555555"/>
  <pageSetup fitToHeight="1" fitToWidth="1" horizontalDpi="300" verticalDpi="300" orientation="landscape" paperSize="9" scale="49" r:id="rId1"/>
  <rowBreaks count="1" manualBreakCount="1">
    <brk id="3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3"/>
  <sheetViews>
    <sheetView zoomScale="75" zoomScaleNormal="75" zoomScaleSheetLayoutView="80" zoomScalePageLayoutView="0" workbookViewId="0" topLeftCell="A1">
      <selection activeCell="A6" sqref="A6"/>
    </sheetView>
  </sheetViews>
  <sheetFormatPr defaultColWidth="8.796875" defaultRowHeight="15"/>
  <cols>
    <col min="2" max="2" width="34.8984375" style="1" customWidth="1"/>
    <col min="3" max="3" width="9.19921875" style="1" customWidth="1"/>
    <col min="4" max="4" width="10.5" style="1" customWidth="1"/>
    <col min="5" max="5" width="6.09765625" style="1" customWidth="1"/>
    <col min="6" max="6" width="6.3984375" style="1" customWidth="1"/>
    <col min="7" max="7" width="6.09765625" style="1" customWidth="1"/>
    <col min="8" max="8" width="6.3984375" style="1" customWidth="1"/>
    <col min="9" max="9" width="6.09765625" style="1" customWidth="1"/>
    <col min="10" max="10" width="6.3984375" style="1" customWidth="1"/>
    <col min="11" max="11" width="6.09765625" style="1" customWidth="1"/>
    <col min="12" max="12" width="6.3984375" style="1" customWidth="1"/>
    <col min="13" max="13" width="39.59765625" style="1" customWidth="1"/>
  </cols>
  <sheetData>
    <row r="2" ht="15.75">
      <c r="M2" s="112" t="s">
        <v>1096</v>
      </c>
    </row>
    <row r="3" ht="15.75">
      <c r="M3" s="112" t="s">
        <v>629</v>
      </c>
    </row>
    <row r="4" ht="15.75">
      <c r="M4" s="112" t="s">
        <v>630</v>
      </c>
    </row>
    <row r="5" ht="15.75">
      <c r="M5" s="112"/>
    </row>
    <row r="6" spans="1:15" ht="31.5" customHeight="1">
      <c r="A6" s="712" t="s">
        <v>238</v>
      </c>
      <c r="B6" s="712"/>
      <c r="C6" s="712"/>
      <c r="D6" s="712"/>
      <c r="E6" s="712"/>
      <c r="F6" s="712"/>
      <c r="G6" s="712"/>
      <c r="H6" s="712"/>
      <c r="I6" s="712"/>
      <c r="J6" s="712"/>
      <c r="K6" s="712"/>
      <c r="L6" s="712"/>
      <c r="M6" s="712"/>
      <c r="N6" s="724"/>
      <c r="O6" s="724"/>
    </row>
    <row r="7" spans="1:15" ht="15.7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493"/>
      <c r="O7" s="493"/>
    </row>
    <row r="8" ht="15.75">
      <c r="M8" s="112" t="s">
        <v>256</v>
      </c>
    </row>
    <row r="9" ht="15.75">
      <c r="M9" s="112" t="s">
        <v>631</v>
      </c>
    </row>
    <row r="10" ht="15.75">
      <c r="M10" s="112"/>
    </row>
    <row r="11" ht="15.75">
      <c r="M11" s="115" t="s">
        <v>259</v>
      </c>
    </row>
    <row r="12" ht="15.75">
      <c r="M12" s="112" t="s">
        <v>260</v>
      </c>
    </row>
    <row r="13" ht="15.75">
      <c r="M13" s="112" t="s">
        <v>261</v>
      </c>
    </row>
    <row r="14" spans="1:15" ht="15.75">
      <c r="A14" s="113"/>
      <c r="M14" s="112"/>
      <c r="N14" s="493"/>
      <c r="O14" s="493"/>
    </row>
    <row r="15" spans="1:13" ht="32.25" customHeight="1">
      <c r="A15" s="671" t="s">
        <v>262</v>
      </c>
      <c r="B15" s="672" t="s">
        <v>973</v>
      </c>
      <c r="C15" s="673" t="s">
        <v>633</v>
      </c>
      <c r="D15" s="673"/>
      <c r="E15" s="673"/>
      <c r="F15" s="673"/>
      <c r="G15" s="673"/>
      <c r="H15" s="673"/>
      <c r="I15" s="673"/>
      <c r="J15" s="673"/>
      <c r="K15" s="673"/>
      <c r="L15" s="673"/>
      <c r="M15" s="684" t="s">
        <v>1067</v>
      </c>
    </row>
    <row r="16" spans="1:13" ht="15.75" customHeight="1">
      <c r="A16" s="671"/>
      <c r="B16" s="672"/>
      <c r="C16" s="685" t="s">
        <v>638</v>
      </c>
      <c r="D16" s="685"/>
      <c r="E16" s="685" t="s">
        <v>639</v>
      </c>
      <c r="F16" s="685"/>
      <c r="G16" s="685" t="s">
        <v>640</v>
      </c>
      <c r="H16" s="685"/>
      <c r="I16" s="685" t="s">
        <v>641</v>
      </c>
      <c r="J16" s="685"/>
      <c r="K16" s="685" t="s">
        <v>642</v>
      </c>
      <c r="L16" s="685"/>
      <c r="M16" s="684"/>
    </row>
    <row r="17" spans="1:13" ht="15.75">
      <c r="A17" s="671"/>
      <c r="B17" s="672"/>
      <c r="C17" s="118" t="s">
        <v>1083</v>
      </c>
      <c r="D17" s="118" t="s">
        <v>1097</v>
      </c>
      <c r="E17" s="118" t="s">
        <v>647</v>
      </c>
      <c r="F17" s="118" t="s">
        <v>1058</v>
      </c>
      <c r="G17" s="118" t="s">
        <v>647</v>
      </c>
      <c r="H17" s="118" t="s">
        <v>1058</v>
      </c>
      <c r="I17" s="118" t="s">
        <v>647</v>
      </c>
      <c r="J17" s="118" t="s">
        <v>1058</v>
      </c>
      <c r="K17" s="118" t="s">
        <v>647</v>
      </c>
      <c r="L17" s="118" t="s">
        <v>1058</v>
      </c>
      <c r="M17" s="684"/>
    </row>
    <row r="18" spans="1:15" ht="15.75">
      <c r="A18" s="494">
        <v>1</v>
      </c>
      <c r="B18" s="495" t="s">
        <v>979</v>
      </c>
      <c r="C18" s="121"/>
      <c r="D18" s="121"/>
      <c r="E18" s="121"/>
      <c r="F18" s="121"/>
      <c r="G18" s="121"/>
      <c r="H18" s="121"/>
      <c r="I18" s="121"/>
      <c r="J18" s="121"/>
      <c r="K18" s="122"/>
      <c r="L18" s="122"/>
      <c r="M18" s="124"/>
      <c r="N18" s="500"/>
      <c r="O18" s="500"/>
    </row>
    <row r="19" spans="1:13" ht="31.5">
      <c r="A19" s="497" t="s">
        <v>199</v>
      </c>
      <c r="B19" s="39" t="s">
        <v>980</v>
      </c>
      <c r="C19" s="39"/>
      <c r="D19" s="39"/>
      <c r="E19" s="39"/>
      <c r="F19" s="39"/>
      <c r="G19" s="39"/>
      <c r="H19" s="39"/>
      <c r="I19" s="39"/>
      <c r="J19" s="39"/>
      <c r="K19" s="33"/>
      <c r="L19" s="33"/>
      <c r="M19" s="275"/>
    </row>
    <row r="20" spans="1:13" ht="31.5">
      <c r="A20" s="497" t="s">
        <v>282</v>
      </c>
      <c r="B20" s="39" t="s">
        <v>981</v>
      </c>
      <c r="C20" s="39"/>
      <c r="D20" s="39"/>
      <c r="E20" s="39"/>
      <c r="F20" s="39"/>
      <c r="G20" s="39"/>
      <c r="H20" s="39"/>
      <c r="I20" s="39"/>
      <c r="J20" s="39"/>
      <c r="K20" s="33"/>
      <c r="L20" s="33"/>
      <c r="M20" s="275"/>
    </row>
    <row r="21" spans="1:13" ht="15.75">
      <c r="A21" s="497" t="s">
        <v>284</v>
      </c>
      <c r="B21" s="39" t="s">
        <v>982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275"/>
    </row>
    <row r="22" spans="1:13" ht="47.25">
      <c r="A22" s="497" t="s">
        <v>286</v>
      </c>
      <c r="B22" s="39" t="s">
        <v>983</v>
      </c>
      <c r="C22" s="30"/>
      <c r="D22" s="30"/>
      <c r="E22" s="30"/>
      <c r="F22" s="30"/>
      <c r="G22" s="30"/>
      <c r="H22" s="30"/>
      <c r="I22" s="30"/>
      <c r="J22" s="30"/>
      <c r="K22" s="33"/>
      <c r="L22" s="33"/>
      <c r="M22" s="275"/>
    </row>
    <row r="23" spans="1:13" ht="31.5">
      <c r="A23" s="497" t="s">
        <v>984</v>
      </c>
      <c r="B23" s="39" t="s">
        <v>985</v>
      </c>
      <c r="C23" s="30"/>
      <c r="D23" s="30"/>
      <c r="E23" s="30"/>
      <c r="F23" s="30"/>
      <c r="G23" s="30"/>
      <c r="H23" s="30"/>
      <c r="I23" s="30"/>
      <c r="J23" s="30"/>
      <c r="K23" s="33"/>
      <c r="L23" s="33"/>
      <c r="M23" s="275"/>
    </row>
    <row r="24" spans="1:13" ht="31.5">
      <c r="A24" s="497" t="s">
        <v>986</v>
      </c>
      <c r="B24" s="39" t="s">
        <v>987</v>
      </c>
      <c r="C24" s="39"/>
      <c r="D24" s="39"/>
      <c r="E24" s="39"/>
      <c r="F24" s="39"/>
      <c r="G24" s="39"/>
      <c r="H24" s="39"/>
      <c r="I24" s="39"/>
      <c r="J24" s="39"/>
      <c r="K24" s="33"/>
      <c r="L24" s="33"/>
      <c r="M24" s="275"/>
    </row>
    <row r="25" spans="1:13" ht="15.75">
      <c r="A25" s="497" t="s">
        <v>288</v>
      </c>
      <c r="B25" s="39" t="s">
        <v>988</v>
      </c>
      <c r="C25" s="39"/>
      <c r="D25" s="39"/>
      <c r="E25" s="39"/>
      <c r="F25" s="39"/>
      <c r="G25" s="39"/>
      <c r="H25" s="39"/>
      <c r="I25" s="39"/>
      <c r="J25" s="39"/>
      <c r="K25" s="33"/>
      <c r="L25" s="33"/>
      <c r="M25" s="275"/>
    </row>
    <row r="26" spans="1:13" ht="15.75">
      <c r="A26" s="497" t="s">
        <v>201</v>
      </c>
      <c r="B26" s="39" t="s">
        <v>769</v>
      </c>
      <c r="C26" s="39"/>
      <c r="D26" s="39"/>
      <c r="E26" s="39"/>
      <c r="F26" s="39"/>
      <c r="G26" s="39"/>
      <c r="H26" s="39"/>
      <c r="I26" s="39"/>
      <c r="J26" s="39"/>
      <c r="K26" s="33"/>
      <c r="L26" s="33"/>
      <c r="M26" s="275"/>
    </row>
    <row r="27" spans="1:13" ht="15.75">
      <c r="A27" s="497" t="s">
        <v>989</v>
      </c>
      <c r="B27" s="39" t="s">
        <v>990</v>
      </c>
      <c r="C27" s="39"/>
      <c r="D27" s="39"/>
      <c r="E27" s="39"/>
      <c r="F27" s="39"/>
      <c r="G27" s="39"/>
      <c r="H27" s="39"/>
      <c r="I27" s="39"/>
      <c r="J27" s="39"/>
      <c r="K27" s="33"/>
      <c r="L27" s="33"/>
      <c r="M27" s="275"/>
    </row>
    <row r="28" spans="1:13" ht="15.75">
      <c r="A28" s="497" t="s">
        <v>991</v>
      </c>
      <c r="B28" s="39" t="s">
        <v>992</v>
      </c>
      <c r="C28" s="39"/>
      <c r="D28" s="39"/>
      <c r="E28" s="39"/>
      <c r="F28" s="39"/>
      <c r="G28" s="39"/>
      <c r="H28" s="39"/>
      <c r="I28" s="39"/>
      <c r="J28" s="39"/>
      <c r="K28" s="33"/>
      <c r="L28" s="33"/>
      <c r="M28" s="275"/>
    </row>
    <row r="29" spans="1:13" ht="31.5">
      <c r="A29" s="497" t="s">
        <v>993</v>
      </c>
      <c r="B29" s="39" t="s">
        <v>994</v>
      </c>
      <c r="C29" s="39"/>
      <c r="D29" s="39"/>
      <c r="E29" s="39"/>
      <c r="F29" s="39"/>
      <c r="G29" s="39"/>
      <c r="H29" s="39"/>
      <c r="I29" s="39"/>
      <c r="J29" s="39"/>
      <c r="K29" s="33"/>
      <c r="L29" s="33"/>
      <c r="M29" s="275"/>
    </row>
    <row r="30" spans="1:13" ht="15.75">
      <c r="A30" s="497" t="s">
        <v>204</v>
      </c>
      <c r="B30" s="39" t="s">
        <v>995</v>
      </c>
      <c r="C30" s="39"/>
      <c r="D30" s="39"/>
      <c r="E30" s="39"/>
      <c r="F30" s="39"/>
      <c r="G30" s="39"/>
      <c r="H30" s="39"/>
      <c r="I30" s="39"/>
      <c r="J30" s="39"/>
      <c r="K30" s="33"/>
      <c r="L30" s="33"/>
      <c r="M30" s="275"/>
    </row>
    <row r="31" spans="1:13" ht="15.75">
      <c r="A31" s="497" t="s">
        <v>206</v>
      </c>
      <c r="B31" s="39" t="s">
        <v>996</v>
      </c>
      <c r="C31" s="39"/>
      <c r="D31" s="39"/>
      <c r="E31" s="39"/>
      <c r="F31" s="39"/>
      <c r="G31" s="39"/>
      <c r="H31" s="39"/>
      <c r="I31" s="39"/>
      <c r="J31" s="39"/>
      <c r="K31" s="33"/>
      <c r="L31" s="33"/>
      <c r="M31" s="275"/>
    </row>
    <row r="32" spans="1:13" ht="15.75">
      <c r="A32" s="497" t="s">
        <v>997</v>
      </c>
      <c r="B32" s="39" t="s">
        <v>998</v>
      </c>
      <c r="C32" s="39"/>
      <c r="D32" s="39"/>
      <c r="E32" s="39"/>
      <c r="F32" s="39"/>
      <c r="G32" s="39"/>
      <c r="H32" s="39"/>
      <c r="I32" s="39"/>
      <c r="J32" s="39"/>
      <c r="K32" s="33"/>
      <c r="L32" s="33"/>
      <c r="M32" s="275"/>
    </row>
    <row r="33" spans="1:13" ht="31.5">
      <c r="A33" s="501" t="s">
        <v>860</v>
      </c>
      <c r="B33" s="502" t="s">
        <v>999</v>
      </c>
      <c r="C33" s="502"/>
      <c r="D33" s="502"/>
      <c r="E33" s="502"/>
      <c r="F33" s="502"/>
      <c r="G33" s="502"/>
      <c r="H33" s="502"/>
      <c r="I33" s="502"/>
      <c r="J33" s="502"/>
      <c r="K33" s="140"/>
      <c r="L33" s="140"/>
      <c r="M33" s="278"/>
    </row>
    <row r="34" spans="1:13" ht="15.75">
      <c r="A34" s="504" t="s">
        <v>308</v>
      </c>
      <c r="B34" s="495" t="s">
        <v>1000</v>
      </c>
      <c r="C34" s="495"/>
      <c r="D34" s="495"/>
      <c r="E34" s="495"/>
      <c r="F34" s="495"/>
      <c r="G34" s="495"/>
      <c r="H34" s="495"/>
      <c r="I34" s="495"/>
      <c r="J34" s="495"/>
      <c r="K34" s="122"/>
      <c r="L34" s="122"/>
      <c r="M34" s="506"/>
    </row>
    <row r="35" spans="1:13" ht="15.75">
      <c r="A35" s="497" t="s">
        <v>209</v>
      </c>
      <c r="B35" s="39" t="s">
        <v>1001</v>
      </c>
      <c r="C35" s="39"/>
      <c r="D35" s="39"/>
      <c r="E35" s="39"/>
      <c r="F35" s="39"/>
      <c r="G35" s="39"/>
      <c r="H35" s="39"/>
      <c r="I35" s="39"/>
      <c r="J35" s="39"/>
      <c r="K35" s="33"/>
      <c r="L35" s="33"/>
      <c r="M35" s="275"/>
    </row>
    <row r="36" spans="1:13" ht="15.75">
      <c r="A36" s="497" t="s">
        <v>211</v>
      </c>
      <c r="B36" s="39" t="s">
        <v>1002</v>
      </c>
      <c r="C36" s="39"/>
      <c r="D36" s="39"/>
      <c r="E36" s="39"/>
      <c r="F36" s="39"/>
      <c r="G36" s="39"/>
      <c r="H36" s="39"/>
      <c r="I36" s="39"/>
      <c r="J36" s="39"/>
      <c r="K36" s="33"/>
      <c r="L36" s="33"/>
      <c r="M36" s="275"/>
    </row>
    <row r="37" spans="1:13" ht="21.75" customHeight="1">
      <c r="A37" s="508" t="s">
        <v>213</v>
      </c>
      <c r="B37" s="39" t="s">
        <v>1003</v>
      </c>
      <c r="C37" s="60"/>
      <c r="D37" s="60"/>
      <c r="E37" s="60"/>
      <c r="F37" s="60"/>
      <c r="G37" s="44"/>
      <c r="H37" s="44"/>
      <c r="I37" s="44"/>
      <c r="J37" s="44"/>
      <c r="K37" s="44"/>
      <c r="L37" s="44"/>
      <c r="M37" s="510"/>
    </row>
    <row r="38" spans="1:13" ht="15.75">
      <c r="A38" s="508" t="s">
        <v>812</v>
      </c>
      <c r="B38" s="39" t="s">
        <v>1004</v>
      </c>
      <c r="C38" s="60"/>
      <c r="D38" s="60"/>
      <c r="E38" s="60"/>
      <c r="F38" s="60"/>
      <c r="G38" s="44"/>
      <c r="H38" s="44"/>
      <c r="I38" s="44"/>
      <c r="J38" s="44"/>
      <c r="K38" s="44"/>
      <c r="L38" s="44"/>
      <c r="M38" s="510"/>
    </row>
    <row r="39" spans="1:13" ht="15.75">
      <c r="A39" s="497" t="s">
        <v>814</v>
      </c>
      <c r="B39" s="39" t="s">
        <v>1005</v>
      </c>
      <c r="C39" s="60"/>
      <c r="D39" s="60"/>
      <c r="E39" s="60"/>
      <c r="F39" s="60"/>
      <c r="G39" s="44"/>
      <c r="H39" s="44"/>
      <c r="I39" s="44"/>
      <c r="J39" s="44"/>
      <c r="K39" s="44"/>
      <c r="L39" s="44"/>
      <c r="M39" s="510"/>
    </row>
    <row r="40" spans="1:13" ht="15.75">
      <c r="A40" s="497" t="s">
        <v>816</v>
      </c>
      <c r="B40" s="39" t="s">
        <v>1006</v>
      </c>
      <c r="C40" s="60"/>
      <c r="D40" s="60"/>
      <c r="E40" s="60"/>
      <c r="F40" s="60"/>
      <c r="G40" s="44"/>
      <c r="H40" s="44"/>
      <c r="I40" s="44"/>
      <c r="J40" s="44"/>
      <c r="K40" s="44"/>
      <c r="L40" s="44"/>
      <c r="M40" s="510"/>
    </row>
    <row r="41" spans="1:13" ht="15.75">
      <c r="A41" s="501" t="s">
        <v>1007</v>
      </c>
      <c r="B41" s="502" t="s">
        <v>1008</v>
      </c>
      <c r="C41" s="423"/>
      <c r="D41" s="423"/>
      <c r="E41" s="423"/>
      <c r="F41" s="423"/>
      <c r="G41" s="532"/>
      <c r="H41" s="532"/>
      <c r="I41" s="532"/>
      <c r="J41" s="532"/>
      <c r="K41" s="532"/>
      <c r="L41" s="532"/>
      <c r="M41" s="512"/>
    </row>
    <row r="42" spans="1:13" ht="31.5">
      <c r="A42" s="513"/>
      <c r="B42" s="514" t="s">
        <v>1009</v>
      </c>
      <c r="C42" s="534"/>
      <c r="D42" s="534"/>
      <c r="E42" s="534"/>
      <c r="F42" s="534"/>
      <c r="G42" s="535"/>
      <c r="H42" s="535"/>
      <c r="I42" s="535"/>
      <c r="J42" s="535"/>
      <c r="K42" s="535"/>
      <c r="L42" s="535"/>
      <c r="M42" s="516"/>
    </row>
    <row r="43" spans="1:13" ht="15.75">
      <c r="A43" s="251"/>
      <c r="B43" s="39" t="s">
        <v>1010</v>
      </c>
      <c r="C43" s="60"/>
      <c r="D43" s="60"/>
      <c r="E43" s="60"/>
      <c r="F43" s="60"/>
      <c r="G43" s="44"/>
      <c r="H43" s="44"/>
      <c r="I43" s="44"/>
      <c r="J43" s="44"/>
      <c r="K43" s="44"/>
      <c r="L43" s="44"/>
      <c r="M43" s="510"/>
    </row>
    <row r="44" spans="1:13" ht="15.75">
      <c r="A44" s="251"/>
      <c r="B44" s="419" t="s">
        <v>1011</v>
      </c>
      <c r="C44" s="60"/>
      <c r="D44" s="60"/>
      <c r="E44" s="60"/>
      <c r="F44" s="60"/>
      <c r="G44" s="44"/>
      <c r="H44" s="44"/>
      <c r="I44" s="44"/>
      <c r="J44" s="44"/>
      <c r="K44" s="44"/>
      <c r="L44" s="44"/>
      <c r="M44" s="510"/>
    </row>
    <row r="45" spans="1:13" ht="15.75">
      <c r="A45" s="420"/>
      <c r="B45" s="421" t="s">
        <v>1012</v>
      </c>
      <c r="C45" s="423"/>
      <c r="D45" s="423"/>
      <c r="E45" s="423"/>
      <c r="F45" s="423"/>
      <c r="G45" s="532"/>
      <c r="H45" s="532"/>
      <c r="I45" s="532"/>
      <c r="J45" s="532"/>
      <c r="K45" s="532"/>
      <c r="L45" s="532"/>
      <c r="M45" s="512"/>
    </row>
    <row r="46" spans="1:13" ht="15.75">
      <c r="A46" s="50"/>
      <c r="B46" s="517"/>
      <c r="C46" s="49"/>
      <c r="D46" s="49"/>
      <c r="E46" s="49"/>
      <c r="F46" s="49"/>
      <c r="G46" s="48"/>
      <c r="H46" s="48"/>
      <c r="I46" s="48"/>
      <c r="J46" s="48"/>
      <c r="K46" s="48"/>
      <c r="L46" s="48"/>
      <c r="M46" s="48"/>
    </row>
    <row r="47" spans="1:12" ht="15.75">
      <c r="A47" s="50" t="s">
        <v>1078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1:12" ht="15.75">
      <c r="A48" s="50" t="s">
        <v>1079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</row>
    <row r="49" spans="1:12" ht="15.75">
      <c r="A49" s="50"/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1:15" ht="15.75">
      <c r="A50" s="49"/>
      <c r="B50" s="518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9"/>
      <c r="N50" s="48"/>
      <c r="O50" s="48"/>
    </row>
    <row r="51" spans="3:12" ht="15.75"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3:12" ht="15.75">
      <c r="C52" s="47"/>
      <c r="D52" s="47"/>
      <c r="E52" s="47"/>
      <c r="F52" s="47"/>
      <c r="G52" s="47"/>
      <c r="H52" s="47"/>
      <c r="I52" s="47"/>
      <c r="J52" s="47"/>
      <c r="K52" s="47"/>
      <c r="L52" s="47"/>
    </row>
    <row r="53" spans="3:12" ht="15.75">
      <c r="C53" s="47"/>
      <c r="D53" s="47"/>
      <c r="E53" s="47"/>
      <c r="F53" s="47"/>
      <c r="G53" s="47"/>
      <c r="H53" s="47"/>
      <c r="I53" s="47"/>
      <c r="J53" s="47"/>
      <c r="K53" s="47"/>
      <c r="L53" s="47"/>
    </row>
    <row r="54" spans="3:12" ht="15.75">
      <c r="C54" s="47"/>
      <c r="D54" s="47"/>
      <c r="E54" s="47"/>
      <c r="F54" s="47"/>
      <c r="G54" s="47"/>
      <c r="H54" s="47"/>
      <c r="I54" s="47"/>
      <c r="J54" s="47"/>
      <c r="K54" s="47"/>
      <c r="L54" s="47"/>
    </row>
    <row r="55" spans="3:12" ht="15.75">
      <c r="C55" s="47"/>
      <c r="D55" s="47"/>
      <c r="E55" s="47"/>
      <c r="F55" s="47"/>
      <c r="G55" s="47"/>
      <c r="H55" s="47"/>
      <c r="I55" s="47"/>
      <c r="J55" s="47"/>
      <c r="K55" s="47"/>
      <c r="L55" s="47"/>
    </row>
    <row r="56" spans="3:12" ht="15.75"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3:12" ht="15.75">
      <c r="C57" s="47"/>
      <c r="D57" s="47"/>
      <c r="E57" s="47"/>
      <c r="F57" s="47"/>
      <c r="G57" s="47"/>
      <c r="H57" s="47"/>
      <c r="I57" s="47"/>
      <c r="J57" s="47"/>
      <c r="K57" s="47"/>
      <c r="L57" s="47"/>
    </row>
    <row r="58" spans="3:12" ht="15.75">
      <c r="C58" s="47"/>
      <c r="D58" s="47"/>
      <c r="E58" s="47"/>
      <c r="F58" s="47"/>
      <c r="G58" s="47"/>
      <c r="H58" s="47"/>
      <c r="I58" s="47"/>
      <c r="J58" s="47"/>
      <c r="K58" s="47"/>
      <c r="L58" s="47"/>
    </row>
    <row r="59" spans="3:12" ht="15.75">
      <c r="C59" s="47"/>
      <c r="D59" s="47"/>
      <c r="E59" s="47"/>
      <c r="F59" s="47"/>
      <c r="G59" s="47"/>
      <c r="H59" s="47"/>
      <c r="I59" s="47"/>
      <c r="J59" s="47"/>
      <c r="K59" s="47"/>
      <c r="L59" s="47"/>
    </row>
    <row r="60" spans="3:12" ht="15.75">
      <c r="C60" s="47"/>
      <c r="D60" s="47"/>
      <c r="E60" s="47"/>
      <c r="F60" s="47"/>
      <c r="G60" s="47"/>
      <c r="H60" s="47"/>
      <c r="I60" s="47"/>
      <c r="J60" s="47"/>
      <c r="K60" s="47"/>
      <c r="L60" s="47"/>
    </row>
    <row r="61" spans="3:12" ht="15.75">
      <c r="C61" s="47"/>
      <c r="D61" s="47"/>
      <c r="E61" s="47"/>
      <c r="F61" s="47"/>
      <c r="G61" s="47"/>
      <c r="H61" s="47"/>
      <c r="I61" s="47"/>
      <c r="J61" s="47"/>
      <c r="K61" s="47"/>
      <c r="L61" s="47"/>
    </row>
    <row r="62" spans="3:12" ht="15.75">
      <c r="C62" s="47"/>
      <c r="D62" s="47"/>
      <c r="E62" s="47"/>
      <c r="F62" s="47"/>
      <c r="G62" s="47"/>
      <c r="H62" s="47"/>
      <c r="I62" s="47"/>
      <c r="J62" s="47"/>
      <c r="K62" s="47"/>
      <c r="L62" s="47"/>
    </row>
    <row r="63" spans="3:12" ht="15.75">
      <c r="C63" s="47"/>
      <c r="D63" s="47"/>
      <c r="E63" s="47"/>
      <c r="F63" s="47"/>
      <c r="G63" s="47"/>
      <c r="H63" s="47"/>
      <c r="I63" s="47"/>
      <c r="J63" s="47"/>
      <c r="K63" s="47"/>
      <c r="L63" s="47"/>
    </row>
    <row r="64" spans="3:12" ht="15.75">
      <c r="C64" s="143"/>
      <c r="D64" s="143"/>
      <c r="E64" s="143"/>
      <c r="F64" s="143"/>
      <c r="G64" s="143"/>
      <c r="H64" s="143"/>
      <c r="I64" s="143"/>
      <c r="J64" s="143"/>
      <c r="K64" s="143"/>
      <c r="L64" s="143"/>
    </row>
    <row r="66" spans="6:12" ht="15.75">
      <c r="F66" s="143"/>
      <c r="G66" s="143"/>
      <c r="H66" s="143"/>
      <c r="I66" s="143"/>
      <c r="J66" s="143"/>
      <c r="K66" s="143"/>
      <c r="L66" s="143"/>
    </row>
    <row r="67" spans="8:12" ht="15.75">
      <c r="H67" s="47"/>
      <c r="I67" s="47"/>
      <c r="J67" s="47"/>
      <c r="K67" s="47"/>
      <c r="L67" s="47"/>
    </row>
    <row r="68" spans="3:12" ht="15.75">
      <c r="C68" s="47"/>
      <c r="D68" s="47"/>
      <c r="E68" s="47"/>
      <c r="F68" s="47"/>
      <c r="G68" s="47"/>
      <c r="H68" s="47"/>
      <c r="I68" s="47"/>
      <c r="J68" s="47"/>
      <c r="K68" s="47"/>
      <c r="L68" s="47"/>
    </row>
    <row r="69" spans="3:12" ht="15.75">
      <c r="C69" s="47"/>
      <c r="D69" s="47"/>
      <c r="E69" s="47"/>
      <c r="F69" s="47"/>
      <c r="G69" s="47"/>
      <c r="H69" s="47"/>
      <c r="I69" s="47"/>
      <c r="J69" s="47"/>
      <c r="K69" s="47"/>
      <c r="L69" s="47"/>
    </row>
    <row r="71" spans="6:8" ht="15.75">
      <c r="F71" s="147"/>
      <c r="G71" s="147"/>
      <c r="H71" s="147"/>
    </row>
    <row r="72" spans="3:12" ht="15.75">
      <c r="C72" s="55"/>
      <c r="F72" s="527"/>
      <c r="H72" s="54"/>
      <c r="I72" s="54"/>
      <c r="J72" s="54"/>
      <c r="L72" s="146"/>
    </row>
    <row r="73" spans="3:8" ht="15.75">
      <c r="C73" s="113"/>
      <c r="H73" s="113"/>
    </row>
  </sheetData>
  <sheetProtection selectLockedCells="1" selectUnlockedCells="1"/>
  <mergeCells count="11">
    <mergeCell ref="A6:M6"/>
    <mergeCell ref="N6:O6"/>
    <mergeCell ref="A15:A17"/>
    <mergeCell ref="B15:B17"/>
    <mergeCell ref="C15:L15"/>
    <mergeCell ref="M15:M17"/>
    <mergeCell ref="C16:D16"/>
    <mergeCell ref="E16:F16"/>
    <mergeCell ref="G16:H16"/>
    <mergeCell ref="I16:J16"/>
    <mergeCell ref="K16:L16"/>
  </mergeCells>
  <printOptions/>
  <pageMargins left="0.9763888888888889" right="0.425" top="0.39791666666666664" bottom="0.39791666666666664" header="0.5118055555555555" footer="0.5118055555555555"/>
  <pageSetup fitToHeight="1" fitToWidth="1" horizontalDpi="300" verticalDpi="300" orientation="portrait" paperSize="9" scale="4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="75" zoomScaleNormal="75" zoomScaleSheetLayoutView="80" zoomScalePageLayoutView="0" workbookViewId="0" topLeftCell="A1">
      <selection activeCell="N46" sqref="N46"/>
    </sheetView>
  </sheetViews>
  <sheetFormatPr defaultColWidth="8.796875" defaultRowHeight="15"/>
  <cols>
    <col min="1" max="1" width="7.19921875" style="1" customWidth="1"/>
    <col min="2" max="2" width="25.19921875" style="1" customWidth="1"/>
    <col min="3" max="3" width="8" style="1" customWidth="1"/>
    <col min="4" max="4" width="7.19921875" style="1" customWidth="1"/>
    <col min="5" max="5" width="7.09765625" style="1" customWidth="1"/>
    <col min="6" max="6" width="7.8984375" style="1" customWidth="1"/>
    <col min="7" max="7" width="7.59765625" style="1" customWidth="1"/>
    <col min="8" max="9" width="7.19921875" style="1" customWidth="1"/>
    <col min="10" max="10" width="8.3984375" style="1" customWidth="1"/>
    <col min="11" max="11" width="7.8984375" style="1" customWidth="1"/>
    <col min="12" max="12" width="8.19921875" style="1" customWidth="1"/>
    <col min="13" max="13" width="7.8984375" style="1" customWidth="1"/>
    <col min="14" max="14" width="7.19921875" style="1" customWidth="1"/>
    <col min="15" max="15" width="7.3984375" style="1" customWidth="1"/>
    <col min="16" max="16" width="7.69921875" style="1" customWidth="1"/>
    <col min="17" max="17" width="8" style="1" customWidth="1"/>
    <col min="18" max="18" width="8.09765625" style="1" customWidth="1"/>
    <col min="19" max="20" width="8" style="1" customWidth="1"/>
    <col min="21" max="21" width="8.8984375" style="1" customWidth="1"/>
    <col min="22" max="22" width="10.19921875" style="1" customWidth="1"/>
  </cols>
  <sheetData>
    <row r="1" spans="13:22" ht="15.75">
      <c r="M1" s="112"/>
      <c r="V1" s="112"/>
    </row>
    <row r="2" spans="13:22" ht="15.75">
      <c r="M2" s="112"/>
      <c r="V2" s="112" t="s">
        <v>1098</v>
      </c>
    </row>
    <row r="3" spans="13:22" ht="15.75">
      <c r="M3" s="112"/>
      <c r="V3" s="112" t="s">
        <v>629</v>
      </c>
    </row>
    <row r="4" spans="13:22" ht="15.75">
      <c r="M4" s="112"/>
      <c r="V4" s="112" t="s">
        <v>630</v>
      </c>
    </row>
    <row r="5" spans="13:22" ht="15.75">
      <c r="M5" s="112"/>
      <c r="V5" s="112"/>
    </row>
    <row r="6" spans="1:22" ht="31.5" customHeight="1">
      <c r="A6" s="712" t="s">
        <v>241</v>
      </c>
      <c r="B6" s="712"/>
      <c r="C6" s="712"/>
      <c r="D6" s="712"/>
      <c r="E6" s="712"/>
      <c r="F6" s="712"/>
      <c r="G6" s="712"/>
      <c r="H6" s="712"/>
      <c r="I6" s="712"/>
      <c r="J6" s="712"/>
      <c r="K6" s="712"/>
      <c r="L6" s="712"/>
      <c r="M6" s="712"/>
      <c r="N6" s="712"/>
      <c r="O6" s="712"/>
      <c r="P6" s="712"/>
      <c r="Q6" s="712"/>
      <c r="R6" s="712"/>
      <c r="S6" s="712"/>
      <c r="T6" s="712"/>
      <c r="U6" s="712"/>
      <c r="V6" s="712"/>
    </row>
    <row r="7" spans="13:22" ht="15.75">
      <c r="M7" s="112"/>
      <c r="V7" s="112" t="s">
        <v>256</v>
      </c>
    </row>
    <row r="8" spans="13:22" ht="15.75">
      <c r="M8" s="112"/>
      <c r="V8" s="112" t="s">
        <v>631</v>
      </c>
    </row>
    <row r="9" spans="13:22" ht="15.75">
      <c r="M9" s="112"/>
      <c r="V9" s="112"/>
    </row>
    <row r="10" spans="13:22" ht="15.75">
      <c r="M10" s="112"/>
      <c r="V10" s="115" t="s">
        <v>259</v>
      </c>
    </row>
    <row r="11" spans="13:22" ht="15.75">
      <c r="M11" s="112"/>
      <c r="V11" s="112" t="s">
        <v>260</v>
      </c>
    </row>
    <row r="12" spans="13:22" ht="15.75">
      <c r="M12" s="112"/>
      <c r="V12" s="112" t="s">
        <v>261</v>
      </c>
    </row>
    <row r="14" spans="1:22" ht="15.75" customHeight="1">
      <c r="A14" s="729" t="s">
        <v>621</v>
      </c>
      <c r="B14" s="729" t="s">
        <v>622</v>
      </c>
      <c r="C14" s="730" t="s">
        <v>271</v>
      </c>
      <c r="D14" s="730"/>
      <c r="E14" s="730"/>
      <c r="F14" s="730"/>
      <c r="G14" s="730"/>
      <c r="H14" s="730"/>
      <c r="I14" s="730"/>
      <c r="J14" s="730"/>
      <c r="K14" s="730"/>
      <c r="L14" s="730"/>
      <c r="M14" s="730" t="s">
        <v>1082</v>
      </c>
      <c r="N14" s="730"/>
      <c r="O14" s="730"/>
      <c r="P14" s="730"/>
      <c r="Q14" s="730"/>
      <c r="R14" s="730"/>
      <c r="S14" s="730"/>
      <c r="T14" s="730"/>
      <c r="U14" s="730"/>
      <c r="V14" s="730"/>
    </row>
    <row r="15" spans="1:22" ht="15.75" customHeight="1">
      <c r="A15" s="729"/>
      <c r="B15" s="729"/>
      <c r="C15" s="731" t="s">
        <v>1083</v>
      </c>
      <c r="D15" s="731"/>
      <c r="E15" s="731"/>
      <c r="F15" s="731"/>
      <c r="G15" s="731"/>
      <c r="H15" s="732" t="s">
        <v>1058</v>
      </c>
      <c r="I15" s="732"/>
      <c r="J15" s="732"/>
      <c r="K15" s="732"/>
      <c r="L15" s="732"/>
      <c r="M15" s="731" t="s">
        <v>1083</v>
      </c>
      <c r="N15" s="731"/>
      <c r="O15" s="731"/>
      <c r="P15" s="731"/>
      <c r="Q15" s="731"/>
      <c r="R15" s="732" t="s">
        <v>1058</v>
      </c>
      <c r="S15" s="732"/>
      <c r="T15" s="732"/>
      <c r="U15" s="732"/>
      <c r="V15" s="732"/>
    </row>
    <row r="16" spans="1:22" ht="15.75" customHeight="1">
      <c r="A16" s="729"/>
      <c r="B16" s="729"/>
      <c r="C16" s="733" t="s">
        <v>624</v>
      </c>
      <c r="D16" s="733"/>
      <c r="E16" s="733"/>
      <c r="F16" s="733"/>
      <c r="G16" s="733"/>
      <c r="H16" s="727" t="s">
        <v>624</v>
      </c>
      <c r="I16" s="727"/>
      <c r="J16" s="727"/>
      <c r="K16" s="727"/>
      <c r="L16" s="727"/>
      <c r="M16" s="733" t="s">
        <v>624</v>
      </c>
      <c r="N16" s="733"/>
      <c r="O16" s="733"/>
      <c r="P16" s="733"/>
      <c r="Q16" s="733"/>
      <c r="R16" s="727" t="s">
        <v>624</v>
      </c>
      <c r="S16" s="727"/>
      <c r="T16" s="727"/>
      <c r="U16" s="727"/>
      <c r="V16" s="727"/>
    </row>
    <row r="17" spans="1:22" ht="15" customHeight="1">
      <c r="A17" s="729"/>
      <c r="B17" s="729"/>
      <c r="C17" s="536" t="s">
        <v>1099</v>
      </c>
      <c r="D17" s="118" t="s">
        <v>1100</v>
      </c>
      <c r="E17" s="118" t="s">
        <v>1101</v>
      </c>
      <c r="F17" s="118" t="s">
        <v>1102</v>
      </c>
      <c r="G17" s="118" t="s">
        <v>1103</v>
      </c>
      <c r="H17" s="118" t="s">
        <v>1099</v>
      </c>
      <c r="I17" s="118" t="s">
        <v>1100</v>
      </c>
      <c r="J17" s="118" t="s">
        <v>1101</v>
      </c>
      <c r="K17" s="118" t="s">
        <v>1102</v>
      </c>
      <c r="L17" s="537" t="s">
        <v>1103</v>
      </c>
      <c r="M17" s="538" t="s">
        <v>1099</v>
      </c>
      <c r="N17" s="118" t="s">
        <v>1100</v>
      </c>
      <c r="O17" s="118" t="s">
        <v>1101</v>
      </c>
      <c r="P17" s="118" t="s">
        <v>1102</v>
      </c>
      <c r="Q17" s="118" t="s">
        <v>1103</v>
      </c>
      <c r="R17" s="118" t="s">
        <v>1099</v>
      </c>
      <c r="S17" s="118" t="s">
        <v>1100</v>
      </c>
      <c r="T17" s="118" t="s">
        <v>1101</v>
      </c>
      <c r="U17" s="118" t="s">
        <v>1102</v>
      </c>
      <c r="V17" s="537" t="s">
        <v>1103</v>
      </c>
    </row>
    <row r="18" spans="1:22" ht="15.75">
      <c r="A18" s="539">
        <v>1</v>
      </c>
      <c r="B18" s="539">
        <v>2</v>
      </c>
      <c r="C18" s="540">
        <v>3</v>
      </c>
      <c r="D18" s="541">
        <v>4</v>
      </c>
      <c r="E18" s="541">
        <v>5</v>
      </c>
      <c r="F18" s="541">
        <v>6</v>
      </c>
      <c r="G18" s="541">
        <v>7</v>
      </c>
      <c r="H18" s="542">
        <v>8</v>
      </c>
      <c r="I18" s="542">
        <v>9</v>
      </c>
      <c r="J18" s="542">
        <v>10</v>
      </c>
      <c r="K18" s="542">
        <v>11</v>
      </c>
      <c r="L18" s="543">
        <v>12</v>
      </c>
      <c r="M18" s="540">
        <v>13</v>
      </c>
      <c r="N18" s="541">
        <v>14</v>
      </c>
      <c r="O18" s="541">
        <v>15</v>
      </c>
      <c r="P18" s="541">
        <v>16</v>
      </c>
      <c r="Q18" s="541">
        <v>17</v>
      </c>
      <c r="R18" s="542">
        <v>18</v>
      </c>
      <c r="S18" s="542">
        <v>19</v>
      </c>
      <c r="T18" s="542">
        <v>20</v>
      </c>
      <c r="U18" s="542">
        <v>21</v>
      </c>
      <c r="V18" s="543">
        <v>22</v>
      </c>
    </row>
    <row r="19" spans="1:22" ht="15.75">
      <c r="A19" s="544"/>
      <c r="B19" s="545"/>
      <c r="C19" s="546"/>
      <c r="D19" s="523"/>
      <c r="E19" s="523"/>
      <c r="F19" s="523"/>
      <c r="G19" s="523"/>
      <c r="H19" s="523"/>
      <c r="I19" s="523"/>
      <c r="J19" s="523"/>
      <c r="K19" s="523"/>
      <c r="L19" s="547"/>
      <c r="M19" s="546"/>
      <c r="N19" s="523"/>
      <c r="O19" s="523"/>
      <c r="P19" s="523"/>
      <c r="Q19" s="548"/>
      <c r="R19" s="548"/>
      <c r="S19" s="548"/>
      <c r="T19" s="548"/>
      <c r="U19" s="548"/>
      <c r="V19" s="549"/>
    </row>
    <row r="20" spans="1:22" ht="15.75">
      <c r="A20" s="525"/>
      <c r="B20" s="526"/>
      <c r="C20" s="526"/>
      <c r="D20" s="526"/>
      <c r="E20" s="526"/>
      <c r="F20" s="526"/>
      <c r="G20" s="526"/>
      <c r="H20" s="526"/>
      <c r="I20" s="526"/>
      <c r="J20" s="526"/>
      <c r="K20" s="526"/>
      <c r="L20" s="526"/>
      <c r="M20" s="526"/>
      <c r="N20" s="526"/>
      <c r="O20" s="526"/>
      <c r="P20" s="526"/>
      <c r="Q20" s="526"/>
      <c r="R20" s="526"/>
      <c r="S20" s="526"/>
      <c r="T20" s="526"/>
      <c r="U20" s="526"/>
      <c r="V20" s="48"/>
    </row>
    <row r="21" ht="15.75">
      <c r="B21" s="1" t="s">
        <v>1078</v>
      </c>
    </row>
    <row r="23" spans="13:16" ht="15.75">
      <c r="M23" s="48"/>
      <c r="N23" s="48"/>
      <c r="O23" s="48"/>
      <c r="P23" s="48"/>
    </row>
    <row r="24" spans="13:16" ht="15.75">
      <c r="M24" s="48"/>
      <c r="N24" s="728"/>
      <c r="O24" s="728"/>
      <c r="P24" s="48"/>
    </row>
    <row r="25" spans="13:16" ht="15.75">
      <c r="M25" s="48"/>
      <c r="N25" s="48"/>
      <c r="O25" s="48"/>
      <c r="P25" s="48"/>
    </row>
    <row r="26" ht="15.75">
      <c r="A26" s="52"/>
    </row>
    <row r="28" ht="15.75">
      <c r="A28" s="27"/>
    </row>
  </sheetData>
  <sheetProtection selectLockedCells="1" selectUnlockedCells="1"/>
  <mergeCells count="14">
    <mergeCell ref="C16:G16"/>
    <mergeCell ref="H16:L16"/>
    <mergeCell ref="M16:Q16"/>
    <mergeCell ref="R16:V16"/>
    <mergeCell ref="N24:O24"/>
    <mergeCell ref="A6:V6"/>
    <mergeCell ref="A14:A17"/>
    <mergeCell ref="B14:B17"/>
    <mergeCell ref="C14:L14"/>
    <mergeCell ref="M14:V14"/>
    <mergeCell ref="C15:G15"/>
    <mergeCell ref="H15:L15"/>
    <mergeCell ref="M15:Q15"/>
    <mergeCell ref="R15:V15"/>
  </mergeCells>
  <printOptions/>
  <pageMargins left="0.425" right="0.425" top="0.9881944444444445" bottom="0.39791666666666664" header="0.5118055555555555" footer="0.5118055555555555"/>
  <pageSetup fitToHeight="1" fitToWidth="1" horizontalDpi="300" verticalDpi="300" orientation="landscape" paperSize="9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0"/>
  <sheetViews>
    <sheetView zoomScale="75" zoomScaleNormal="75" zoomScaleSheetLayoutView="80" zoomScalePageLayoutView="0" workbookViewId="0" topLeftCell="A1">
      <selection activeCell="D25" sqref="D25"/>
    </sheetView>
  </sheetViews>
  <sheetFormatPr defaultColWidth="8.796875" defaultRowHeight="15"/>
  <cols>
    <col min="1" max="2" width="57.8984375" style="550" customWidth="1"/>
    <col min="3" max="16384" width="9" style="27" customWidth="1"/>
  </cols>
  <sheetData>
    <row r="1" ht="15.75">
      <c r="B1" s="551" t="s">
        <v>1104</v>
      </c>
    </row>
    <row r="2" ht="15.75">
      <c r="B2" s="551" t="s">
        <v>629</v>
      </c>
    </row>
    <row r="3" ht="15.75">
      <c r="B3" s="551" t="s">
        <v>630</v>
      </c>
    </row>
    <row r="4" ht="15.75">
      <c r="B4" s="551"/>
    </row>
    <row r="5" spans="1:2" ht="30.75" customHeight="1">
      <c r="A5" s="734" t="s">
        <v>243</v>
      </c>
      <c r="B5" s="734"/>
    </row>
    <row r="6" ht="15.75">
      <c r="B6" s="551"/>
    </row>
    <row r="7" ht="15.75">
      <c r="B7" s="551" t="s">
        <v>256</v>
      </c>
    </row>
    <row r="8" ht="15.75">
      <c r="B8" s="551" t="s">
        <v>631</v>
      </c>
    </row>
    <row r="9" ht="15.75">
      <c r="B9" s="551"/>
    </row>
    <row r="10" ht="15.75">
      <c r="B10" s="552" t="s">
        <v>259</v>
      </c>
    </row>
    <row r="11" ht="15.75">
      <c r="B11" s="551" t="s">
        <v>260</v>
      </c>
    </row>
    <row r="12" ht="15.75">
      <c r="B12" s="551" t="s">
        <v>261</v>
      </c>
    </row>
    <row r="13" ht="15.75">
      <c r="B13" s="553"/>
    </row>
    <row r="14" spans="1:2" ht="15.75">
      <c r="A14" s="554" t="s">
        <v>263</v>
      </c>
      <c r="B14" s="555"/>
    </row>
    <row r="15" spans="1:2" ht="15.75">
      <c r="A15" s="554" t="s">
        <v>1105</v>
      </c>
      <c r="B15" s="555"/>
    </row>
    <row r="16" spans="1:2" ht="15.75">
      <c r="A16" s="554" t="s">
        <v>1106</v>
      </c>
      <c r="B16" s="556" t="s">
        <v>1107</v>
      </c>
    </row>
    <row r="17" spans="1:2" ht="15.75">
      <c r="A17" s="554" t="s">
        <v>1108</v>
      </c>
      <c r="B17" s="556"/>
    </row>
    <row r="18" spans="1:2" ht="15.75">
      <c r="A18" s="557" t="s">
        <v>1109</v>
      </c>
      <c r="B18" s="555" t="s">
        <v>1110</v>
      </c>
    </row>
    <row r="19" spans="1:2" ht="30">
      <c r="A19" s="558" t="s">
        <v>1111</v>
      </c>
      <c r="B19" s="559" t="s">
        <v>1112</v>
      </c>
    </row>
    <row r="20" spans="1:2" ht="15.75">
      <c r="A20" s="560" t="s">
        <v>51</v>
      </c>
      <c r="B20" s="561"/>
    </row>
    <row r="21" spans="1:2" ht="30">
      <c r="A21" s="561" t="s">
        <v>52</v>
      </c>
      <c r="B21" s="561"/>
    </row>
    <row r="22" spans="1:2" ht="60">
      <c r="A22" s="562" t="s">
        <v>53</v>
      </c>
      <c r="B22" s="561"/>
    </row>
    <row r="23" spans="1:2" ht="60">
      <c r="A23" s="563" t="s">
        <v>54</v>
      </c>
      <c r="B23" s="561"/>
    </row>
    <row r="24" spans="1:2" ht="15.75">
      <c r="A24" s="557" t="s">
        <v>55</v>
      </c>
      <c r="B24" s="561"/>
    </row>
    <row r="25" spans="1:2" ht="30">
      <c r="A25" s="563" t="s">
        <v>56</v>
      </c>
      <c r="B25" s="561"/>
    </row>
    <row r="26" spans="1:2" ht="15.75">
      <c r="A26" s="557" t="s">
        <v>57</v>
      </c>
      <c r="B26" s="561"/>
    </row>
    <row r="27" spans="1:2" ht="30">
      <c r="A27" s="563" t="s">
        <v>58</v>
      </c>
      <c r="B27" s="561"/>
    </row>
    <row r="28" spans="1:2" ht="15.75">
      <c r="A28" s="557" t="s">
        <v>59</v>
      </c>
      <c r="B28" s="559" t="s">
        <v>60</v>
      </c>
    </row>
    <row r="29" spans="1:2" ht="15.75">
      <c r="A29" s="560" t="s">
        <v>61</v>
      </c>
      <c r="B29" s="559"/>
    </row>
    <row r="30" spans="1:2" ht="90">
      <c r="A30" s="557" t="s">
        <v>62</v>
      </c>
      <c r="B30" s="564" t="s">
        <v>63</v>
      </c>
    </row>
    <row r="31" spans="1:2" ht="28.5">
      <c r="A31" s="560" t="s">
        <v>64</v>
      </c>
      <c r="B31" s="562"/>
    </row>
    <row r="32" spans="1:2" ht="45">
      <c r="A32" s="565" t="s">
        <v>65</v>
      </c>
      <c r="B32" s="565"/>
    </row>
    <row r="33" spans="1:2" ht="15.75">
      <c r="A33" s="565" t="s">
        <v>66</v>
      </c>
      <c r="B33" s="565"/>
    </row>
    <row r="34" spans="1:2" ht="15.75">
      <c r="A34" s="565" t="s">
        <v>67</v>
      </c>
      <c r="B34" s="565"/>
    </row>
    <row r="35" spans="1:2" ht="15.75">
      <c r="A35" s="566" t="s">
        <v>68</v>
      </c>
      <c r="B35" s="566"/>
    </row>
    <row r="36" spans="1:2" ht="28.5">
      <c r="A36" s="567" t="s">
        <v>69</v>
      </c>
      <c r="B36" s="561"/>
    </row>
    <row r="37" spans="1:2" ht="15.75">
      <c r="A37" s="561" t="s">
        <v>70</v>
      </c>
      <c r="B37" s="561"/>
    </row>
    <row r="38" spans="1:2" ht="28.5">
      <c r="A38" s="568" t="s">
        <v>71</v>
      </c>
      <c r="B38" s="561"/>
    </row>
    <row r="39" spans="1:2" ht="28.5">
      <c r="A39" s="568" t="s">
        <v>72</v>
      </c>
      <c r="B39" s="561"/>
    </row>
    <row r="40" spans="1:2" ht="15.75">
      <c r="A40" s="561" t="s">
        <v>917</v>
      </c>
      <c r="B40" s="561"/>
    </row>
    <row r="41" spans="1:2" ht="28.5">
      <c r="A41" s="568" t="s">
        <v>73</v>
      </c>
      <c r="B41" s="561"/>
    </row>
    <row r="42" spans="1:2" ht="15.75">
      <c r="A42" s="561" t="s">
        <v>74</v>
      </c>
      <c r="B42" s="561"/>
    </row>
    <row r="43" spans="1:2" ht="15.75">
      <c r="A43" s="561" t="s">
        <v>75</v>
      </c>
      <c r="B43" s="561"/>
    </row>
    <row r="44" spans="1:2" ht="15.75">
      <c r="A44" s="561" t="s">
        <v>76</v>
      </c>
      <c r="B44" s="561"/>
    </row>
    <row r="45" spans="1:2" ht="15.75">
      <c r="A45" s="561" t="s">
        <v>77</v>
      </c>
      <c r="B45" s="561"/>
    </row>
    <row r="46" spans="1:2" ht="28.5">
      <c r="A46" s="568" t="s">
        <v>78</v>
      </c>
      <c r="B46" s="561"/>
    </row>
    <row r="47" spans="1:2" ht="15.75">
      <c r="A47" s="561" t="s">
        <v>74</v>
      </c>
      <c r="B47" s="561"/>
    </row>
    <row r="48" spans="1:2" ht="15.75">
      <c r="A48" s="561" t="s">
        <v>75</v>
      </c>
      <c r="B48" s="561"/>
    </row>
    <row r="49" spans="1:2" ht="15.75">
      <c r="A49" s="561" t="s">
        <v>76</v>
      </c>
      <c r="B49" s="561"/>
    </row>
    <row r="50" spans="1:2" ht="15.75">
      <c r="A50" s="561" t="s">
        <v>77</v>
      </c>
      <c r="B50" s="561"/>
    </row>
    <row r="51" spans="1:2" ht="28.5">
      <c r="A51" s="568" t="s">
        <v>79</v>
      </c>
      <c r="B51" s="561"/>
    </row>
    <row r="52" spans="1:2" ht="15.75">
      <c r="A52" s="561" t="s">
        <v>74</v>
      </c>
      <c r="B52" s="561"/>
    </row>
    <row r="53" spans="1:2" ht="15.75">
      <c r="A53" s="561" t="s">
        <v>75</v>
      </c>
      <c r="B53" s="561"/>
    </row>
    <row r="54" spans="1:2" ht="15.75">
      <c r="A54" s="561" t="s">
        <v>76</v>
      </c>
      <c r="B54" s="561"/>
    </row>
    <row r="55" spans="1:2" ht="15.75">
      <c r="A55" s="561" t="s">
        <v>77</v>
      </c>
      <c r="B55" s="561"/>
    </row>
    <row r="56" spans="1:2" ht="28.5">
      <c r="A56" s="560" t="s">
        <v>80</v>
      </c>
      <c r="B56" s="569"/>
    </row>
    <row r="57" spans="1:2" ht="15.75">
      <c r="A57" s="562" t="s">
        <v>917</v>
      </c>
      <c r="B57" s="569"/>
    </row>
    <row r="58" spans="1:2" ht="15.75">
      <c r="A58" s="562" t="s">
        <v>81</v>
      </c>
      <c r="B58" s="569"/>
    </row>
    <row r="59" spans="1:2" ht="15.75">
      <c r="A59" s="562" t="s">
        <v>82</v>
      </c>
      <c r="B59" s="569"/>
    </row>
    <row r="60" spans="1:2" ht="15.75">
      <c r="A60" s="562" t="s">
        <v>83</v>
      </c>
      <c r="B60" s="569"/>
    </row>
    <row r="61" spans="1:2" ht="15.75">
      <c r="A61" s="557" t="s">
        <v>84</v>
      </c>
      <c r="B61" s="570"/>
    </row>
    <row r="62" spans="1:2" ht="15.75">
      <c r="A62" s="557" t="s">
        <v>85</v>
      </c>
      <c r="B62" s="570"/>
    </row>
    <row r="63" spans="1:2" ht="15.75">
      <c r="A63" s="557" t="s">
        <v>86</v>
      </c>
      <c r="B63" s="570"/>
    </row>
    <row r="64" spans="1:2" ht="15.75">
      <c r="A64" s="558" t="s">
        <v>87</v>
      </c>
      <c r="B64" s="559"/>
    </row>
    <row r="65" spans="1:2" ht="15.75" customHeight="1">
      <c r="A65" s="560" t="s">
        <v>88</v>
      </c>
      <c r="B65" s="735" t="s">
        <v>89</v>
      </c>
    </row>
    <row r="66" spans="1:2" ht="15.75">
      <c r="A66" s="565" t="s">
        <v>90</v>
      </c>
      <c r="B66" s="735"/>
    </row>
    <row r="67" spans="1:2" ht="15.75">
      <c r="A67" s="565" t="s">
        <v>91</v>
      </c>
      <c r="B67" s="735"/>
    </row>
    <row r="68" spans="1:2" ht="15.75">
      <c r="A68" s="565" t="s">
        <v>92</v>
      </c>
      <c r="B68" s="735"/>
    </row>
    <row r="69" spans="1:2" ht="15.75">
      <c r="A69" s="565" t="s">
        <v>93</v>
      </c>
      <c r="B69" s="735"/>
    </row>
    <row r="70" spans="1:2" ht="15.75">
      <c r="A70" s="566" t="s">
        <v>94</v>
      </c>
      <c r="B70" s="735"/>
    </row>
    <row r="71" spans="1:2" ht="30">
      <c r="A71" s="562" t="s">
        <v>95</v>
      </c>
      <c r="B71" s="563"/>
    </row>
    <row r="72" spans="1:2" ht="28.5">
      <c r="A72" s="557" t="s">
        <v>96</v>
      </c>
      <c r="B72" s="563"/>
    </row>
    <row r="73" spans="1:2" ht="15.75">
      <c r="A73" s="562" t="s">
        <v>917</v>
      </c>
      <c r="B73" s="571"/>
    </row>
    <row r="74" spans="1:2" ht="15.75">
      <c r="A74" s="562" t="s">
        <v>97</v>
      </c>
      <c r="B74" s="563"/>
    </row>
    <row r="75" spans="1:2" ht="15.75">
      <c r="A75" s="562" t="s">
        <v>98</v>
      </c>
      <c r="B75" s="571"/>
    </row>
    <row r="76" spans="1:2" ht="30">
      <c r="A76" s="572" t="s">
        <v>99</v>
      </c>
      <c r="B76" s="573" t="s">
        <v>100</v>
      </c>
    </row>
    <row r="77" spans="1:2" ht="15.75">
      <c r="A77" s="557" t="s">
        <v>101</v>
      </c>
      <c r="B77" s="570"/>
    </row>
    <row r="78" spans="1:2" ht="15.75">
      <c r="A78" s="565" t="s">
        <v>102</v>
      </c>
      <c r="B78" s="569"/>
    </row>
    <row r="79" spans="1:2" ht="15.75">
      <c r="A79" s="565" t="s">
        <v>103</v>
      </c>
      <c r="B79" s="569"/>
    </row>
    <row r="80" spans="1:2" ht="15.75">
      <c r="A80" s="565" t="s">
        <v>104</v>
      </c>
      <c r="B80" s="569"/>
    </row>
    <row r="81" spans="1:2" ht="45">
      <c r="A81" s="574" t="s">
        <v>105</v>
      </c>
      <c r="B81" s="571" t="s">
        <v>106</v>
      </c>
    </row>
    <row r="82" spans="1:2" ht="26.25" customHeight="1">
      <c r="A82" s="560" t="s">
        <v>107</v>
      </c>
      <c r="B82" s="735" t="s">
        <v>108</v>
      </c>
    </row>
    <row r="83" spans="1:2" ht="15.75">
      <c r="A83" s="565" t="s">
        <v>109</v>
      </c>
      <c r="B83" s="735"/>
    </row>
    <row r="84" spans="1:2" ht="15.75">
      <c r="A84" s="565" t="s">
        <v>110</v>
      </c>
      <c r="B84" s="735"/>
    </row>
    <row r="85" spans="1:2" ht="15.75">
      <c r="A85" s="565" t="s">
        <v>111</v>
      </c>
      <c r="B85" s="735"/>
    </row>
    <row r="86" spans="1:2" ht="15.75">
      <c r="A86" s="565" t="s">
        <v>112</v>
      </c>
      <c r="B86" s="735"/>
    </row>
    <row r="87" spans="1:2" ht="15.75">
      <c r="A87" s="575" t="s">
        <v>113</v>
      </c>
      <c r="B87" s="735"/>
    </row>
    <row r="89" spans="1:2" ht="15.75">
      <c r="A89" s="576" t="s">
        <v>114</v>
      </c>
      <c r="B89" s="576"/>
    </row>
    <row r="90" ht="15.75">
      <c r="A90" s="550" t="s">
        <v>115</v>
      </c>
    </row>
    <row r="91" ht="15.75">
      <c r="A91" s="550" t="s">
        <v>116</v>
      </c>
    </row>
    <row r="92" ht="15.75">
      <c r="A92" s="550" t="s">
        <v>117</v>
      </c>
    </row>
    <row r="93" ht="15.75">
      <c r="A93" s="550" t="s">
        <v>118</v>
      </c>
    </row>
    <row r="94" ht="15.75">
      <c r="A94" s="550" t="s">
        <v>119</v>
      </c>
    </row>
    <row r="95" ht="15.75">
      <c r="A95" s="550" t="s">
        <v>120</v>
      </c>
    </row>
    <row r="96" spans="1:2" ht="15.75" customHeight="1">
      <c r="A96" s="736" t="s">
        <v>121</v>
      </c>
      <c r="B96" s="736"/>
    </row>
    <row r="98" spans="1:2" ht="15.75">
      <c r="A98" s="577" t="s">
        <v>122</v>
      </c>
      <c r="B98" s="578"/>
    </row>
    <row r="99" ht="15.75">
      <c r="B99" s="579" t="s">
        <v>123</v>
      </c>
    </row>
    <row r="100" ht="15.75">
      <c r="B100" s="580" t="s">
        <v>124</v>
      </c>
    </row>
  </sheetData>
  <sheetProtection selectLockedCells="1" selectUnlockedCells="1"/>
  <mergeCells count="4">
    <mergeCell ref="A5:B5"/>
    <mergeCell ref="B65:B70"/>
    <mergeCell ref="B82:B87"/>
    <mergeCell ref="A96:B96"/>
  </mergeCells>
  <printOptions/>
  <pageMargins left="0.9763888888888889" right="0.425" top="0.39791666666666664" bottom="0.39791666666666664" header="0.5118055555555555" footer="0.5118055555555555"/>
  <pageSetup fitToHeight="2" fitToWidth="1" horizontalDpi="300" verticalDpi="3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75" zoomScaleNormal="75" zoomScaleSheetLayoutView="80" zoomScalePageLayoutView="0" workbookViewId="0" topLeftCell="A1">
      <selection activeCell="D37" sqref="D37"/>
    </sheetView>
  </sheetViews>
  <sheetFormatPr defaultColWidth="8.796875" defaultRowHeight="15"/>
  <cols>
    <col min="1" max="1" width="13.8984375" style="1" customWidth="1"/>
    <col min="2" max="2" width="31.69921875" style="27" customWidth="1"/>
    <col min="3" max="6" width="11.69921875" style="27" customWidth="1"/>
    <col min="7" max="8" width="20" style="27" customWidth="1"/>
    <col min="9" max="9" width="15.59765625" style="27" customWidth="1"/>
    <col min="10" max="14" width="7.8984375" style="27" customWidth="1"/>
    <col min="15" max="15" width="9" style="27" customWidth="1"/>
  </cols>
  <sheetData>
    <row r="1" spans="1:14" ht="15.75">
      <c r="A1" s="27"/>
      <c r="B1" s="581"/>
      <c r="C1" s="581"/>
      <c r="D1" s="581"/>
      <c r="E1" s="581"/>
      <c r="F1" s="581"/>
      <c r="G1" s="581"/>
      <c r="H1" s="581"/>
      <c r="I1" s="581"/>
      <c r="N1" s="551" t="s">
        <v>125</v>
      </c>
    </row>
    <row r="2" spans="1:14" ht="15.75">
      <c r="A2" s="27"/>
      <c r="B2" s="581"/>
      <c r="C2" s="581"/>
      <c r="D2" s="581"/>
      <c r="E2" s="581"/>
      <c r="F2" s="581"/>
      <c r="G2" s="581"/>
      <c r="H2" s="581"/>
      <c r="I2" s="581"/>
      <c r="N2" s="551" t="s">
        <v>629</v>
      </c>
    </row>
    <row r="3" spans="1:14" ht="15.75">
      <c r="A3" s="27"/>
      <c r="B3" s="581"/>
      <c r="C3" s="581"/>
      <c r="D3" s="581"/>
      <c r="E3" s="581"/>
      <c r="F3" s="581"/>
      <c r="G3" s="581"/>
      <c r="H3" s="581"/>
      <c r="I3" s="581"/>
      <c r="N3" s="551" t="s">
        <v>630</v>
      </c>
    </row>
    <row r="4" spans="1:14" ht="15.75">
      <c r="A4" s="27"/>
      <c r="B4" s="581"/>
      <c r="C4" s="581"/>
      <c r="D4" s="581"/>
      <c r="E4" s="581"/>
      <c r="F4" s="581"/>
      <c r="G4" s="581"/>
      <c r="H4" s="581"/>
      <c r="I4" s="581"/>
      <c r="N4" s="551"/>
    </row>
    <row r="5" spans="1:14" ht="33" customHeight="1">
      <c r="A5" s="742" t="s">
        <v>245</v>
      </c>
      <c r="B5" s="742"/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2"/>
    </row>
    <row r="6" spans="1:9" ht="15.75">
      <c r="A6" s="27"/>
      <c r="B6" s="581"/>
      <c r="C6" s="581"/>
      <c r="D6" s="581"/>
      <c r="E6" s="581"/>
      <c r="F6" s="581"/>
      <c r="G6" s="581"/>
      <c r="H6" s="581"/>
      <c r="I6" s="581"/>
    </row>
    <row r="7" spans="1:14" ht="15.75">
      <c r="A7" s="27"/>
      <c r="M7" s="550"/>
      <c r="N7" s="551" t="s">
        <v>256</v>
      </c>
    </row>
    <row r="8" spans="1:14" ht="15.75">
      <c r="A8" s="27"/>
      <c r="M8" s="550"/>
      <c r="N8" s="551" t="s">
        <v>631</v>
      </c>
    </row>
    <row r="9" spans="1:14" ht="15.75">
      <c r="A9" s="27"/>
      <c r="M9" s="550"/>
      <c r="N9" s="551"/>
    </row>
    <row r="10" spans="1:14" ht="31.5">
      <c r="A10" s="27"/>
      <c r="M10" s="550"/>
      <c r="N10" s="552" t="s">
        <v>259</v>
      </c>
    </row>
    <row r="11" spans="1:14" ht="15.75">
      <c r="A11" s="27"/>
      <c r="M11" s="550"/>
      <c r="N11" s="551" t="s">
        <v>260</v>
      </c>
    </row>
    <row r="12" spans="1:14" ht="15.75">
      <c r="A12" s="27"/>
      <c r="M12" s="550"/>
      <c r="N12" s="551" t="s">
        <v>261</v>
      </c>
    </row>
    <row r="13" spans="1:9" ht="15.75" customHeight="1">
      <c r="A13" s="679" t="s">
        <v>126</v>
      </c>
      <c r="B13" s="679"/>
      <c r="C13" s="679"/>
      <c r="D13" s="679"/>
      <c r="E13" s="679"/>
      <c r="F13" s="679"/>
      <c r="G13" s="679"/>
      <c r="H13" s="679"/>
      <c r="I13" s="679"/>
    </row>
    <row r="14" spans="1:9" ht="15.75">
      <c r="A14" s="581"/>
      <c r="B14" s="581"/>
      <c r="C14" s="581"/>
      <c r="D14" s="581"/>
      <c r="E14" s="581"/>
      <c r="F14" s="581"/>
      <c r="G14" s="581"/>
      <c r="H14" s="581"/>
      <c r="I14" s="581"/>
    </row>
    <row r="15" spans="1:9" ht="15.75" customHeight="1">
      <c r="A15" s="679" t="s">
        <v>790</v>
      </c>
      <c r="B15" s="679"/>
      <c r="C15" s="679"/>
      <c r="D15" s="679"/>
      <c r="E15" s="679"/>
      <c r="F15" s="679"/>
      <c r="G15" s="679"/>
      <c r="H15" s="679"/>
      <c r="I15" s="679"/>
    </row>
    <row r="16" spans="1:14" ht="29.25" customHeight="1">
      <c r="A16" s="722" t="s">
        <v>127</v>
      </c>
      <c r="B16" s="707" t="s">
        <v>128</v>
      </c>
      <c r="C16" s="707" t="s">
        <v>129</v>
      </c>
      <c r="D16" s="707"/>
      <c r="E16" s="707"/>
      <c r="F16" s="707"/>
      <c r="G16" s="707" t="s">
        <v>130</v>
      </c>
      <c r="H16" s="707" t="s">
        <v>131</v>
      </c>
      <c r="I16" s="743" t="s">
        <v>132</v>
      </c>
      <c r="J16" s="663" t="s">
        <v>133</v>
      </c>
      <c r="K16" s="663"/>
      <c r="L16" s="663"/>
      <c r="M16" s="663"/>
      <c r="N16" s="663"/>
    </row>
    <row r="17" spans="1:14" ht="15.75" customHeight="1">
      <c r="A17" s="722"/>
      <c r="B17" s="707"/>
      <c r="C17" s="682" t="s">
        <v>134</v>
      </c>
      <c r="D17" s="682"/>
      <c r="E17" s="682" t="s">
        <v>135</v>
      </c>
      <c r="F17" s="682"/>
      <c r="G17" s="707"/>
      <c r="H17" s="707"/>
      <c r="I17" s="743"/>
      <c r="J17" s="663"/>
      <c r="K17" s="663"/>
      <c r="L17" s="663"/>
      <c r="M17" s="663"/>
      <c r="N17" s="663"/>
    </row>
    <row r="18" spans="1:14" ht="15.75" customHeight="1">
      <c r="A18" s="722"/>
      <c r="B18" s="707"/>
      <c r="C18" s="741" t="s">
        <v>136</v>
      </c>
      <c r="D18" s="741" t="s">
        <v>137</v>
      </c>
      <c r="E18" s="741" t="s">
        <v>136</v>
      </c>
      <c r="F18" s="741" t="s">
        <v>137</v>
      </c>
      <c r="G18" s="707"/>
      <c r="H18" s="707"/>
      <c r="I18" s="743"/>
      <c r="J18" s="663"/>
      <c r="K18" s="663"/>
      <c r="L18" s="663"/>
      <c r="M18" s="663"/>
      <c r="N18" s="663"/>
    </row>
    <row r="19" spans="1:14" ht="15.75">
      <c r="A19" s="722"/>
      <c r="B19" s="707"/>
      <c r="C19" s="741"/>
      <c r="D19" s="741"/>
      <c r="E19" s="741"/>
      <c r="F19" s="741"/>
      <c r="G19" s="707"/>
      <c r="H19" s="707"/>
      <c r="I19" s="743"/>
      <c r="J19" s="663"/>
      <c r="K19" s="663"/>
      <c r="L19" s="663"/>
      <c r="M19" s="663"/>
      <c r="N19" s="663"/>
    </row>
    <row r="20" spans="1:14" ht="15.75">
      <c r="A20" s="722"/>
      <c r="B20" s="707"/>
      <c r="C20" s="741"/>
      <c r="D20" s="741"/>
      <c r="E20" s="741"/>
      <c r="F20" s="741"/>
      <c r="G20" s="707"/>
      <c r="H20" s="707"/>
      <c r="I20" s="743"/>
      <c r="J20" s="663"/>
      <c r="K20" s="663"/>
      <c r="L20" s="663"/>
      <c r="M20" s="663"/>
      <c r="N20" s="663"/>
    </row>
    <row r="21" spans="1:14" ht="15.75">
      <c r="A21" s="292">
        <v>1</v>
      </c>
      <c r="B21" s="582">
        <v>2</v>
      </c>
      <c r="C21" s="582">
        <v>3</v>
      </c>
      <c r="D21" s="582">
        <v>4</v>
      </c>
      <c r="E21" s="582">
        <v>5</v>
      </c>
      <c r="F21" s="582">
        <v>6</v>
      </c>
      <c r="G21" s="582">
        <v>8</v>
      </c>
      <c r="H21" s="582">
        <v>9</v>
      </c>
      <c r="I21" s="582">
        <v>10</v>
      </c>
      <c r="J21" s="739">
        <v>11</v>
      </c>
      <c r="K21" s="739"/>
      <c r="L21" s="739"/>
      <c r="M21" s="739"/>
      <c r="N21" s="739"/>
    </row>
    <row r="22" spans="1:14" ht="15.75">
      <c r="A22" s="583" t="s">
        <v>891</v>
      </c>
      <c r="B22" s="584"/>
      <c r="C22" s="584"/>
      <c r="D22" s="584"/>
      <c r="E22" s="584"/>
      <c r="F22" s="584"/>
      <c r="G22" s="584"/>
      <c r="H22" s="584"/>
      <c r="I22" s="584"/>
      <c r="J22" s="740"/>
      <c r="K22" s="740"/>
      <c r="L22" s="740"/>
      <c r="M22" s="740"/>
      <c r="N22" s="740"/>
    </row>
    <row r="23" spans="1:14" ht="15.75">
      <c r="A23" s="585" t="s">
        <v>897</v>
      </c>
      <c r="B23" s="274"/>
      <c r="C23" s="274"/>
      <c r="D23" s="274"/>
      <c r="E23" s="274"/>
      <c r="F23" s="274"/>
      <c r="G23" s="274"/>
      <c r="H23" s="274"/>
      <c r="I23" s="274"/>
      <c r="J23" s="737"/>
      <c r="K23" s="737"/>
      <c r="L23" s="737"/>
      <c r="M23" s="737"/>
      <c r="N23" s="737"/>
    </row>
    <row r="24" spans="1:14" ht="15.75">
      <c r="A24" s="585"/>
      <c r="B24" s="274"/>
      <c r="C24" s="274"/>
      <c r="D24" s="274"/>
      <c r="E24" s="274"/>
      <c r="F24" s="274"/>
      <c r="G24" s="274"/>
      <c r="H24" s="274"/>
      <c r="I24" s="274"/>
      <c r="J24" s="737"/>
      <c r="K24" s="737"/>
      <c r="L24" s="737"/>
      <c r="M24" s="737"/>
      <c r="N24" s="737"/>
    </row>
    <row r="25" spans="1:14" ht="15.75">
      <c r="A25" s="585"/>
      <c r="B25" s="274"/>
      <c r="C25" s="274"/>
      <c r="D25" s="274"/>
      <c r="E25" s="274"/>
      <c r="F25" s="274"/>
      <c r="G25" s="274"/>
      <c r="H25" s="274"/>
      <c r="I25" s="274"/>
      <c r="J25" s="737"/>
      <c r="K25" s="737"/>
      <c r="L25" s="737"/>
      <c r="M25" s="737"/>
      <c r="N25" s="737"/>
    </row>
    <row r="26" spans="1:14" ht="15.75">
      <c r="A26" s="586"/>
      <c r="B26" s="277"/>
      <c r="C26" s="277"/>
      <c r="D26" s="277"/>
      <c r="E26" s="277"/>
      <c r="F26" s="277"/>
      <c r="G26" s="277"/>
      <c r="H26" s="277"/>
      <c r="I26" s="277"/>
      <c r="J26" s="738"/>
      <c r="K26" s="738"/>
      <c r="L26" s="738"/>
      <c r="M26" s="738"/>
      <c r="N26" s="738"/>
    </row>
    <row r="27" ht="15.75">
      <c r="B27" s="587"/>
    </row>
    <row r="28" spans="1:2" ht="15.75">
      <c r="A28" s="1" t="s">
        <v>138</v>
      </c>
      <c r="B28" s="587"/>
    </row>
  </sheetData>
  <sheetProtection selectLockedCells="1" selectUnlockedCells="1"/>
  <mergeCells count="22">
    <mergeCell ref="A5:N5"/>
    <mergeCell ref="A13:I13"/>
    <mergeCell ref="A15:I15"/>
    <mergeCell ref="A16:A20"/>
    <mergeCell ref="B16:B20"/>
    <mergeCell ref="C16:F16"/>
    <mergeCell ref="G16:G20"/>
    <mergeCell ref="H16:H20"/>
    <mergeCell ref="I16:I20"/>
    <mergeCell ref="J16:N20"/>
    <mergeCell ref="C17:D17"/>
    <mergeCell ref="E17:F17"/>
    <mergeCell ref="C18:C20"/>
    <mergeCell ref="D18:D20"/>
    <mergeCell ref="E18:E20"/>
    <mergeCell ref="F18:F20"/>
    <mergeCell ref="J25:N25"/>
    <mergeCell ref="J26:N26"/>
    <mergeCell ref="J21:N21"/>
    <mergeCell ref="J22:N22"/>
    <mergeCell ref="J23:N23"/>
    <mergeCell ref="J24:N24"/>
  </mergeCells>
  <printOptions/>
  <pageMargins left="0.425" right="0.425" top="0.9881944444444445" bottom="0.39791666666666664" header="0.5118055555555555" footer="0.5118055555555555"/>
  <pageSetup fitToHeight="1" fitToWidth="1" horizontalDpi="300" verticalDpi="3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8"/>
  <sheetViews>
    <sheetView zoomScale="75" zoomScaleNormal="75" zoomScaleSheetLayoutView="80" zoomScalePageLayoutView="0" workbookViewId="0" topLeftCell="A1">
      <selection activeCell="A6" sqref="A6"/>
    </sheetView>
  </sheetViews>
  <sheetFormatPr defaultColWidth="8.796875" defaultRowHeight="15"/>
  <cols>
    <col min="1" max="1" width="17.69921875" style="1" customWidth="1"/>
    <col min="2" max="2" width="57.3984375" style="1" customWidth="1"/>
    <col min="3" max="3" width="16.3984375" style="1" customWidth="1"/>
  </cols>
  <sheetData>
    <row r="2" ht="15.75">
      <c r="C2" s="112" t="s">
        <v>139</v>
      </c>
    </row>
    <row r="3" ht="15.75">
      <c r="C3" s="112" t="s">
        <v>629</v>
      </c>
    </row>
    <row r="4" ht="15.75">
      <c r="C4" s="112" t="s">
        <v>630</v>
      </c>
    </row>
    <row r="5" ht="15.75">
      <c r="C5" s="112"/>
    </row>
    <row r="6" spans="1:16" ht="42.75" customHeight="1">
      <c r="A6" s="710" t="s">
        <v>247</v>
      </c>
      <c r="B6" s="710"/>
      <c r="C6" s="710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</row>
    <row r="7" ht="15.75">
      <c r="C7" s="112"/>
    </row>
    <row r="8" ht="15.75">
      <c r="C8" s="112" t="s">
        <v>256</v>
      </c>
    </row>
    <row r="9" ht="15.75">
      <c r="C9" s="112" t="s">
        <v>631</v>
      </c>
    </row>
    <row r="10" ht="15.75">
      <c r="C10" s="112"/>
    </row>
    <row r="11" ht="15.75">
      <c r="C11" s="115" t="s">
        <v>259</v>
      </c>
    </row>
    <row r="12" ht="15.75">
      <c r="C12" s="112" t="s">
        <v>260</v>
      </c>
    </row>
    <row r="13" ht="15.75">
      <c r="C13" s="112" t="s">
        <v>261</v>
      </c>
    </row>
    <row r="16" spans="1:3" ht="21.75" customHeight="1">
      <c r="A16" s="588" t="s">
        <v>140</v>
      </c>
      <c r="B16" s="117" t="s">
        <v>800</v>
      </c>
      <c r="C16" s="285" t="s">
        <v>801</v>
      </c>
    </row>
    <row r="17" spans="1:3" ht="15.75" customHeight="1">
      <c r="A17" s="286" t="s">
        <v>653</v>
      </c>
      <c r="B17" s="711" t="s">
        <v>802</v>
      </c>
      <c r="C17" s="711"/>
    </row>
    <row r="18" spans="1:3" ht="15.75">
      <c r="A18" s="287" t="s">
        <v>199</v>
      </c>
      <c r="B18" s="288" t="s">
        <v>803</v>
      </c>
      <c r="C18" s="289" t="s">
        <v>804</v>
      </c>
    </row>
    <row r="19" spans="1:3" ht="31.5">
      <c r="A19" s="287" t="s">
        <v>201</v>
      </c>
      <c r="B19" s="288" t="s">
        <v>805</v>
      </c>
      <c r="C19" s="289" t="s">
        <v>806</v>
      </c>
    </row>
    <row r="20" spans="1:3" ht="15.75" customHeight="1">
      <c r="A20" s="287" t="s">
        <v>308</v>
      </c>
      <c r="B20" s="709" t="s">
        <v>807</v>
      </c>
      <c r="C20" s="709"/>
    </row>
    <row r="21" spans="1:3" ht="15.75">
      <c r="A21" s="287" t="s">
        <v>209</v>
      </c>
      <c r="B21" s="290" t="s">
        <v>808</v>
      </c>
      <c r="C21" s="289" t="s">
        <v>809</v>
      </c>
    </row>
    <row r="22" spans="1:3" ht="15.75">
      <c r="A22" s="287" t="s">
        <v>211</v>
      </c>
      <c r="B22" s="290" t="s">
        <v>810</v>
      </c>
      <c r="C22" s="289" t="s">
        <v>806</v>
      </c>
    </row>
    <row r="23" spans="1:3" ht="31.5" customHeight="1">
      <c r="A23" s="287" t="s">
        <v>213</v>
      </c>
      <c r="B23" s="290" t="s">
        <v>811</v>
      </c>
      <c r="C23" s="289" t="s">
        <v>809</v>
      </c>
    </row>
    <row r="24" spans="1:3" ht="31.5" customHeight="1">
      <c r="A24" s="287" t="s">
        <v>812</v>
      </c>
      <c r="B24" s="290" t="s">
        <v>813</v>
      </c>
      <c r="C24" s="289" t="s">
        <v>806</v>
      </c>
    </row>
    <row r="25" spans="1:3" ht="31.5">
      <c r="A25" s="287" t="s">
        <v>814</v>
      </c>
      <c r="B25" s="288" t="s">
        <v>815</v>
      </c>
      <c r="C25" s="289" t="s">
        <v>809</v>
      </c>
    </row>
    <row r="26" spans="1:3" ht="34.5" customHeight="1">
      <c r="A26" s="287" t="s">
        <v>816</v>
      </c>
      <c r="B26" s="288" t="s">
        <v>817</v>
      </c>
      <c r="C26" s="289" t="s">
        <v>809</v>
      </c>
    </row>
    <row r="27" spans="1:3" ht="15.75" customHeight="1">
      <c r="A27" s="287">
        <v>3</v>
      </c>
      <c r="B27" s="709" t="s">
        <v>818</v>
      </c>
      <c r="C27" s="709"/>
    </row>
    <row r="28" spans="1:3" ht="31.5">
      <c r="A28" s="287" t="s">
        <v>215</v>
      </c>
      <c r="B28" s="288" t="s">
        <v>819</v>
      </c>
      <c r="C28" s="289" t="s">
        <v>809</v>
      </c>
    </row>
    <row r="29" spans="1:3" ht="31.5">
      <c r="A29" s="287" t="s">
        <v>217</v>
      </c>
      <c r="B29" s="288" t="s">
        <v>820</v>
      </c>
      <c r="C29" s="289" t="s">
        <v>809</v>
      </c>
    </row>
    <row r="30" spans="1:3" ht="24.75" customHeight="1">
      <c r="A30" s="287" t="s">
        <v>821</v>
      </c>
      <c r="B30" s="288" t="s">
        <v>822</v>
      </c>
      <c r="C30" s="289" t="s">
        <v>809</v>
      </c>
    </row>
    <row r="31" spans="1:3" ht="15.75">
      <c r="A31" s="287" t="s">
        <v>823</v>
      </c>
      <c r="B31" s="288" t="s">
        <v>824</v>
      </c>
      <c r="C31" s="289" t="s">
        <v>809</v>
      </c>
    </row>
    <row r="32" spans="1:3" ht="15.75" customHeight="1">
      <c r="A32" s="287">
        <v>4</v>
      </c>
      <c r="B32" s="709" t="s">
        <v>825</v>
      </c>
      <c r="C32" s="709"/>
    </row>
    <row r="33" spans="1:3" ht="15.75">
      <c r="A33" s="287" t="s">
        <v>219</v>
      </c>
      <c r="B33" s="288" t="s">
        <v>826</v>
      </c>
      <c r="C33" s="289" t="s">
        <v>806</v>
      </c>
    </row>
    <row r="34" spans="1:3" ht="47.25">
      <c r="A34" s="287" t="s">
        <v>221</v>
      </c>
      <c r="B34" s="288" t="s">
        <v>827</v>
      </c>
      <c r="C34" s="289" t="s">
        <v>806</v>
      </c>
    </row>
    <row r="35" spans="1:3" ht="15.75">
      <c r="A35" s="287" t="s">
        <v>223</v>
      </c>
      <c r="B35" s="288" t="s">
        <v>828</v>
      </c>
      <c r="C35" s="289" t="s">
        <v>809</v>
      </c>
    </row>
    <row r="36" spans="1:3" ht="31.5">
      <c r="A36" s="287" t="s">
        <v>829</v>
      </c>
      <c r="B36" s="288" t="s">
        <v>830</v>
      </c>
      <c r="C36" s="289" t="s">
        <v>809</v>
      </c>
    </row>
    <row r="37" spans="1:3" ht="15.75">
      <c r="A37" s="287" t="s">
        <v>831</v>
      </c>
      <c r="B37" s="288" t="s">
        <v>832</v>
      </c>
      <c r="C37" s="289" t="s">
        <v>806</v>
      </c>
    </row>
    <row r="38" spans="1:3" ht="15.75">
      <c r="A38" s="287" t="s">
        <v>833</v>
      </c>
      <c r="B38" s="288" t="s">
        <v>834</v>
      </c>
      <c r="C38" s="289" t="s">
        <v>806</v>
      </c>
    </row>
    <row r="39" spans="1:3" ht="15.75" customHeight="1">
      <c r="A39" s="287">
        <v>5</v>
      </c>
      <c r="B39" s="709" t="s">
        <v>835</v>
      </c>
      <c r="C39" s="709"/>
    </row>
    <row r="40" spans="1:3" ht="15.75">
      <c r="A40" s="287" t="s">
        <v>836</v>
      </c>
      <c r="B40" s="288" t="s">
        <v>837</v>
      </c>
      <c r="C40" s="291" t="s">
        <v>809</v>
      </c>
    </row>
    <row r="41" spans="1:3" ht="31.5">
      <c r="A41" s="287" t="s">
        <v>838</v>
      </c>
      <c r="B41" s="288" t="s">
        <v>839</v>
      </c>
      <c r="C41" s="291" t="s">
        <v>809</v>
      </c>
    </row>
    <row r="42" spans="1:3" ht="31.5">
      <c r="A42" s="287" t="s">
        <v>840</v>
      </c>
      <c r="B42" s="288" t="s">
        <v>841</v>
      </c>
      <c r="C42" s="289" t="s">
        <v>806</v>
      </c>
    </row>
    <row r="43" spans="1:3" ht="31.5">
      <c r="A43" s="287" t="s">
        <v>842</v>
      </c>
      <c r="B43" s="288" t="s">
        <v>843</v>
      </c>
      <c r="C43" s="289" t="s">
        <v>809</v>
      </c>
    </row>
    <row r="44" spans="1:3" ht="31.5">
      <c r="A44" s="287" t="s">
        <v>844</v>
      </c>
      <c r="B44" s="288" t="s">
        <v>845</v>
      </c>
      <c r="C44" s="289" t="s">
        <v>806</v>
      </c>
    </row>
    <row r="45" spans="1:3" ht="31.5">
      <c r="A45" s="287" t="s">
        <v>846</v>
      </c>
      <c r="B45" s="288" t="s">
        <v>847</v>
      </c>
      <c r="C45" s="289" t="s">
        <v>806</v>
      </c>
    </row>
    <row r="47" spans="1:3" ht="15.75" customHeight="1">
      <c r="A47" s="287">
        <v>6</v>
      </c>
      <c r="B47" s="709" t="s">
        <v>848</v>
      </c>
      <c r="C47" s="709"/>
    </row>
    <row r="48" spans="1:3" ht="31.5">
      <c r="A48" s="287" t="s">
        <v>228</v>
      </c>
      <c r="B48" s="288" t="s">
        <v>849</v>
      </c>
      <c r="C48" s="289" t="s">
        <v>806</v>
      </c>
    </row>
    <row r="49" spans="1:3" ht="15.75">
      <c r="A49" s="287" t="s">
        <v>230</v>
      </c>
      <c r="B49" s="288" t="s">
        <v>850</v>
      </c>
      <c r="C49" s="289" t="s">
        <v>806</v>
      </c>
    </row>
    <row r="50" spans="1:3" ht="31.5">
      <c r="A50" s="287" t="s">
        <v>232</v>
      </c>
      <c r="B50" s="288" t="s">
        <v>851</v>
      </c>
      <c r="C50" s="289" t="s">
        <v>809</v>
      </c>
    </row>
    <row r="51" spans="1:3" ht="63">
      <c r="A51" s="292" t="s">
        <v>852</v>
      </c>
      <c r="B51" s="293" t="s">
        <v>853</v>
      </c>
      <c r="C51" s="294" t="s">
        <v>809</v>
      </c>
    </row>
    <row r="54" spans="1:3" ht="33" customHeight="1">
      <c r="A54" s="710" t="s">
        <v>854</v>
      </c>
      <c r="B54" s="710"/>
      <c r="C54" s="710"/>
    </row>
    <row r="56" spans="1:3" ht="15.75">
      <c r="A56" s="295" t="s">
        <v>621</v>
      </c>
      <c r="B56" s="296" t="s">
        <v>800</v>
      </c>
      <c r="C56" s="297" t="s">
        <v>801</v>
      </c>
    </row>
    <row r="57" spans="1:3" ht="15.75">
      <c r="A57" s="286">
        <v>1</v>
      </c>
      <c r="B57" s="298" t="s">
        <v>855</v>
      </c>
      <c r="C57" s="299"/>
    </row>
    <row r="58" spans="1:3" ht="15.75">
      <c r="A58" s="287" t="s">
        <v>199</v>
      </c>
      <c r="B58" s="300" t="s">
        <v>856</v>
      </c>
      <c r="C58" s="289" t="s">
        <v>809</v>
      </c>
    </row>
    <row r="59" spans="1:3" ht="15.75">
      <c r="A59" s="287" t="s">
        <v>201</v>
      </c>
      <c r="B59" s="300" t="s">
        <v>857</v>
      </c>
      <c r="C59" s="289" t="s">
        <v>809</v>
      </c>
    </row>
    <row r="60" spans="1:3" ht="15.75">
      <c r="A60" s="287" t="s">
        <v>204</v>
      </c>
      <c r="B60" s="288" t="s">
        <v>858</v>
      </c>
      <c r="C60" s="289" t="s">
        <v>809</v>
      </c>
    </row>
    <row r="61" spans="1:3" ht="31.5">
      <c r="A61" s="287" t="s">
        <v>206</v>
      </c>
      <c r="B61" s="288" t="s">
        <v>859</v>
      </c>
      <c r="C61" s="289" t="s">
        <v>809</v>
      </c>
    </row>
    <row r="62" spans="1:3" ht="15.75">
      <c r="A62" s="287" t="s">
        <v>860</v>
      </c>
      <c r="B62" s="288" t="s">
        <v>861</v>
      </c>
      <c r="C62" s="289" t="s">
        <v>809</v>
      </c>
    </row>
    <row r="63" spans="1:3" ht="15.75">
      <c r="A63" s="287" t="s">
        <v>862</v>
      </c>
      <c r="B63" s="288" t="s">
        <v>868</v>
      </c>
      <c r="C63" s="289" t="s">
        <v>806</v>
      </c>
    </row>
    <row r="64" spans="1:3" ht="15.75">
      <c r="A64" s="287">
        <v>2</v>
      </c>
      <c r="B64" s="301" t="s">
        <v>818</v>
      </c>
      <c r="C64" s="302"/>
    </row>
    <row r="65" spans="1:3" ht="15.75">
      <c r="A65" s="287" t="s">
        <v>209</v>
      </c>
      <c r="B65" s="288" t="s">
        <v>869</v>
      </c>
      <c r="C65" s="289" t="s">
        <v>809</v>
      </c>
    </row>
    <row r="66" spans="1:3" ht="31.5">
      <c r="A66" s="287" t="s">
        <v>211</v>
      </c>
      <c r="B66" s="288" t="s">
        <v>870</v>
      </c>
      <c r="C66" s="289" t="s">
        <v>809</v>
      </c>
    </row>
    <row r="67" spans="1:3" ht="15.75">
      <c r="A67" s="287" t="s">
        <v>213</v>
      </c>
      <c r="B67" s="288" t="s">
        <v>871</v>
      </c>
      <c r="C67" s="289" t="s">
        <v>809</v>
      </c>
    </row>
    <row r="68" spans="1:3" ht="31.5">
      <c r="A68" s="287">
        <v>3</v>
      </c>
      <c r="B68" s="301" t="s">
        <v>872</v>
      </c>
      <c r="C68" s="302" t="s">
        <v>873</v>
      </c>
    </row>
    <row r="69" spans="1:3" ht="30.75" customHeight="1">
      <c r="A69" s="287" t="s">
        <v>215</v>
      </c>
      <c r="B69" s="288" t="s">
        <v>874</v>
      </c>
      <c r="C69" s="289" t="s">
        <v>806</v>
      </c>
    </row>
    <row r="70" spans="1:3" ht="15.75">
      <c r="A70" s="287" t="s">
        <v>217</v>
      </c>
      <c r="B70" s="288" t="s">
        <v>875</v>
      </c>
      <c r="C70" s="289" t="s">
        <v>809</v>
      </c>
    </row>
    <row r="71" spans="1:3" ht="15.75">
      <c r="A71" s="287" t="s">
        <v>821</v>
      </c>
      <c r="B71" s="288" t="s">
        <v>876</v>
      </c>
      <c r="C71" s="289" t="s">
        <v>806</v>
      </c>
    </row>
    <row r="72" spans="1:3" ht="15.75">
      <c r="A72" s="287" t="s">
        <v>877</v>
      </c>
      <c r="B72" s="288" t="s">
        <v>878</v>
      </c>
      <c r="C72" s="289" t="s">
        <v>806</v>
      </c>
    </row>
    <row r="73" spans="1:3" ht="15.75">
      <c r="A73" s="287" t="s">
        <v>879</v>
      </c>
      <c r="B73" s="288" t="s">
        <v>880</v>
      </c>
      <c r="C73" s="289" t="s">
        <v>809</v>
      </c>
    </row>
    <row r="74" spans="1:3" ht="15.75">
      <c r="A74" s="287">
        <v>4</v>
      </c>
      <c r="B74" s="301" t="s">
        <v>848</v>
      </c>
      <c r="C74" s="302"/>
    </row>
    <row r="75" spans="1:3" ht="15.75">
      <c r="A75" s="287" t="s">
        <v>219</v>
      </c>
      <c r="B75" s="288" t="s">
        <v>881</v>
      </c>
      <c r="C75" s="289" t="s">
        <v>806</v>
      </c>
    </row>
    <row r="76" spans="1:3" ht="31.5">
      <c r="A76" s="287" t="s">
        <v>221</v>
      </c>
      <c r="B76" s="288" t="s">
        <v>882</v>
      </c>
      <c r="C76" s="289" t="s">
        <v>809</v>
      </c>
    </row>
    <row r="77" spans="1:3" ht="15.75">
      <c r="A77" s="292" t="s">
        <v>223</v>
      </c>
      <c r="B77" s="293" t="s">
        <v>883</v>
      </c>
      <c r="C77" s="294" t="s">
        <v>809</v>
      </c>
    </row>
    <row r="78" spans="1:3" ht="15.75">
      <c r="A78" s="292" t="s">
        <v>829</v>
      </c>
      <c r="B78" s="293" t="s">
        <v>884</v>
      </c>
      <c r="C78" s="294" t="s">
        <v>809</v>
      </c>
    </row>
  </sheetData>
  <sheetProtection selectLockedCells="1" selectUnlockedCells="1"/>
  <mergeCells count="8">
    <mergeCell ref="B47:C47"/>
    <mergeCell ref="A54:C54"/>
    <mergeCell ref="A6:C6"/>
    <mergeCell ref="B17:C17"/>
    <mergeCell ref="B20:C20"/>
    <mergeCell ref="B27:C27"/>
    <mergeCell ref="B32:C32"/>
    <mergeCell ref="B39:C39"/>
  </mergeCells>
  <printOptions/>
  <pageMargins left="0.425" right="0.425" top="0.9881944444444445" bottom="0.39791666666666664" header="0.5118055555555555" footer="0.5118055555555555"/>
  <pageSetup fitToHeight="2" fitToWidth="1" horizontalDpi="300" verticalDpi="300" orientation="portrait" paperSize="9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zoomScale="75" zoomScaleNormal="75" zoomScaleSheetLayoutView="80" zoomScalePageLayoutView="0" workbookViewId="0" topLeftCell="A1">
      <selection activeCell="G39" sqref="G39"/>
    </sheetView>
  </sheetViews>
  <sheetFormatPr defaultColWidth="8.796875" defaultRowHeight="15"/>
  <cols>
    <col min="1" max="1" width="54.09765625" style="589" customWidth="1"/>
    <col min="2" max="2" width="25.5" style="589" customWidth="1"/>
    <col min="3" max="3" width="21.59765625" style="589" customWidth="1"/>
    <col min="4" max="16384" width="9" style="589" customWidth="1"/>
  </cols>
  <sheetData>
    <row r="1" ht="15.75">
      <c r="C1" s="424" t="s">
        <v>141</v>
      </c>
    </row>
    <row r="2" ht="15.75">
      <c r="C2" s="424" t="s">
        <v>629</v>
      </c>
    </row>
    <row r="3" ht="15.75">
      <c r="C3" s="424" t="s">
        <v>630</v>
      </c>
    </row>
    <row r="4" ht="15.75">
      <c r="C4" s="424"/>
    </row>
    <row r="5" spans="1:3" s="590" customFormat="1" ht="34.5" customHeight="1">
      <c r="A5" s="712" t="s">
        <v>250</v>
      </c>
      <c r="B5" s="712"/>
      <c r="C5" s="712"/>
    </row>
    <row r="6" spans="1:3" s="590" customFormat="1" ht="17.25">
      <c r="A6" s="1"/>
      <c r="B6" s="1"/>
      <c r="C6" s="1"/>
    </row>
    <row r="7" spans="1:3" ht="15.75">
      <c r="A7" s="745" t="s">
        <v>142</v>
      </c>
      <c r="B7" s="745"/>
      <c r="C7" s="745"/>
    </row>
    <row r="8" spans="1:3" ht="15.75">
      <c r="A8" s="591"/>
      <c r="B8" s="591"/>
      <c r="C8" s="591"/>
    </row>
    <row r="9" ht="15.75">
      <c r="C9" s="424" t="s">
        <v>256</v>
      </c>
    </row>
    <row r="10" ht="15.75">
      <c r="C10" s="424" t="s">
        <v>631</v>
      </c>
    </row>
    <row r="11" ht="15.75">
      <c r="C11" s="424"/>
    </row>
    <row r="12" ht="15.75">
      <c r="C12" s="592" t="s">
        <v>259</v>
      </c>
    </row>
    <row r="13" ht="15.75">
      <c r="C13" s="424" t="s">
        <v>260</v>
      </c>
    </row>
    <row r="14" ht="15.75">
      <c r="C14" s="424" t="s">
        <v>261</v>
      </c>
    </row>
    <row r="15" ht="15.75">
      <c r="B15" s="593"/>
    </row>
    <row r="16" spans="1:3" ht="15.75">
      <c r="A16" s="594" t="s">
        <v>143</v>
      </c>
      <c r="B16" s="595"/>
      <c r="C16" s="596"/>
    </row>
    <row r="17" spans="1:3" ht="47.25">
      <c r="A17" s="597" t="s">
        <v>144</v>
      </c>
      <c r="B17" s="598" t="s">
        <v>145</v>
      </c>
      <c r="C17" s="599" t="s">
        <v>146</v>
      </c>
    </row>
    <row r="18" spans="1:3" ht="15.75">
      <c r="A18" s="600">
        <v>1</v>
      </c>
      <c r="B18" s="601">
        <v>2</v>
      </c>
      <c r="C18" s="602">
        <v>3</v>
      </c>
    </row>
    <row r="19" spans="1:3" ht="15.75">
      <c r="A19" s="603" t="s">
        <v>1016</v>
      </c>
      <c r="B19" s="603"/>
      <c r="C19" s="603"/>
    </row>
    <row r="20" spans="1:3" ht="15.75">
      <c r="A20" s="603" t="s">
        <v>773</v>
      </c>
      <c r="B20" s="603"/>
      <c r="C20" s="603"/>
    </row>
    <row r="21" spans="1:3" ht="15.75">
      <c r="A21" s="603" t="s">
        <v>147</v>
      </c>
      <c r="B21" s="603"/>
      <c r="C21" s="603"/>
    </row>
    <row r="22" spans="1:3" ht="15.75">
      <c r="A22" s="604" t="s">
        <v>148</v>
      </c>
      <c r="B22" s="603"/>
      <c r="C22" s="603"/>
    </row>
    <row r="23" spans="1:3" ht="15.75">
      <c r="A23" s="604" t="s">
        <v>149</v>
      </c>
      <c r="B23" s="603"/>
      <c r="C23" s="603"/>
    </row>
    <row r="24" spans="1:3" ht="15.75">
      <c r="A24" s="603" t="s">
        <v>768</v>
      </c>
      <c r="B24" s="603"/>
      <c r="C24" s="603"/>
    </row>
    <row r="25" spans="1:3" ht="15.75">
      <c r="A25" s="603" t="s">
        <v>150</v>
      </c>
      <c r="B25" s="603"/>
      <c r="C25" s="603"/>
    </row>
    <row r="26" spans="1:3" ht="15.75">
      <c r="A26" s="603" t="s">
        <v>151</v>
      </c>
      <c r="B26" s="603"/>
      <c r="C26" s="603"/>
    </row>
    <row r="27" spans="1:3" ht="15.75">
      <c r="A27" s="603" t="s">
        <v>152</v>
      </c>
      <c r="B27" s="603"/>
      <c r="C27" s="603"/>
    </row>
    <row r="28" spans="1:3" ht="15.75">
      <c r="A28" s="603" t="s">
        <v>724</v>
      </c>
      <c r="B28" s="603"/>
      <c r="C28" s="603"/>
    </row>
    <row r="29" spans="1:3" ht="15.75">
      <c r="A29" s="603" t="s">
        <v>153</v>
      </c>
      <c r="B29" s="603"/>
      <c r="C29" s="603"/>
    </row>
    <row r="30" spans="1:3" ht="15.75">
      <c r="A30" s="604" t="s">
        <v>154</v>
      </c>
      <c r="B30" s="603"/>
      <c r="C30" s="603"/>
    </row>
    <row r="31" spans="1:3" ht="15.75">
      <c r="A31" s="604" t="s">
        <v>155</v>
      </c>
      <c r="B31" s="603"/>
      <c r="C31" s="603"/>
    </row>
    <row r="32" spans="1:3" ht="15.75">
      <c r="A32" s="604" t="s">
        <v>156</v>
      </c>
      <c r="B32" s="603"/>
      <c r="C32" s="603"/>
    </row>
    <row r="33" spans="1:3" ht="15.75">
      <c r="A33" s="604" t="s">
        <v>157</v>
      </c>
      <c r="B33" s="603"/>
      <c r="C33" s="603"/>
    </row>
    <row r="34" spans="1:3" ht="15.75">
      <c r="A34" s="603" t="s">
        <v>158</v>
      </c>
      <c r="B34" s="603"/>
      <c r="C34" s="603"/>
    </row>
    <row r="35" spans="1:3" ht="15.75">
      <c r="A35" s="604" t="s">
        <v>159</v>
      </c>
      <c r="B35" s="603"/>
      <c r="C35" s="603"/>
    </row>
    <row r="36" spans="1:3" ht="15.75">
      <c r="A36" s="604" t="s">
        <v>160</v>
      </c>
      <c r="B36" s="603"/>
      <c r="C36" s="603"/>
    </row>
    <row r="37" spans="1:3" ht="15.75">
      <c r="A37" s="605" t="s">
        <v>161</v>
      </c>
      <c r="B37" s="603"/>
      <c r="C37" s="603"/>
    </row>
    <row r="38" spans="1:3" ht="15.75">
      <c r="A38" s="605" t="s">
        <v>162</v>
      </c>
      <c r="B38" s="603"/>
      <c r="C38" s="603"/>
    </row>
    <row r="39" spans="1:3" ht="15.75">
      <c r="A39" s="605" t="s">
        <v>163</v>
      </c>
      <c r="B39" s="603"/>
      <c r="C39" s="603"/>
    </row>
    <row r="40" spans="1:3" ht="15.75">
      <c r="A40" s="603" t="s">
        <v>164</v>
      </c>
      <c r="B40" s="603"/>
      <c r="C40" s="603"/>
    </row>
    <row r="41" spans="1:3" ht="15.75" customHeight="1">
      <c r="A41" s="746" t="s">
        <v>165</v>
      </c>
      <c r="B41" s="746"/>
      <c r="C41" s="746"/>
    </row>
    <row r="42" spans="1:3" ht="31.5">
      <c r="A42" s="603" t="s">
        <v>166</v>
      </c>
      <c r="B42" s="744"/>
      <c r="C42" s="744"/>
    </row>
    <row r="43" spans="1:3" ht="15.75">
      <c r="A43" s="603" t="s">
        <v>167</v>
      </c>
      <c r="B43" s="744"/>
      <c r="C43" s="744"/>
    </row>
    <row r="44" spans="1:3" ht="15.75">
      <c r="A44" s="603" t="s">
        <v>168</v>
      </c>
      <c r="B44" s="744"/>
      <c r="C44" s="744"/>
    </row>
    <row r="45" spans="1:3" ht="15.75">
      <c r="A45" s="603" t="s">
        <v>169</v>
      </c>
      <c r="B45" s="744"/>
      <c r="C45" s="744"/>
    </row>
    <row r="46" spans="1:3" ht="15.75" customHeight="1">
      <c r="A46" s="746" t="s">
        <v>170</v>
      </c>
      <c r="B46" s="746"/>
      <c r="C46" s="746"/>
    </row>
    <row r="47" spans="1:3" ht="15.75">
      <c r="A47" s="606" t="s">
        <v>171</v>
      </c>
      <c r="B47" s="744"/>
      <c r="C47" s="744"/>
    </row>
    <row r="48" spans="1:3" ht="15.75">
      <c r="A48" s="606" t="s">
        <v>172</v>
      </c>
      <c r="B48" s="744"/>
      <c r="C48" s="744"/>
    </row>
    <row r="49" spans="1:3" ht="15.75">
      <c r="A49" s="606" t="s">
        <v>173</v>
      </c>
      <c r="B49" s="744"/>
      <c r="C49" s="744"/>
    </row>
    <row r="50" spans="1:3" ht="15.75">
      <c r="A50" s="607" t="s">
        <v>174</v>
      </c>
      <c r="B50" s="744"/>
      <c r="C50" s="744"/>
    </row>
    <row r="51" spans="1:2" ht="15.75">
      <c r="A51" s="608"/>
      <c r="B51" s="608"/>
    </row>
    <row r="52" spans="1:3" ht="33" customHeight="1">
      <c r="A52" s="747" t="s">
        <v>175</v>
      </c>
      <c r="B52" s="747"/>
      <c r="C52" s="747"/>
    </row>
  </sheetData>
  <sheetProtection selectLockedCells="1" selectUnlockedCells="1"/>
  <mergeCells count="13">
    <mergeCell ref="B45:C45"/>
    <mergeCell ref="A46:C46"/>
    <mergeCell ref="A52:C52"/>
    <mergeCell ref="B47:C47"/>
    <mergeCell ref="B48:C48"/>
    <mergeCell ref="B49:C49"/>
    <mergeCell ref="B50:C50"/>
    <mergeCell ref="B43:C43"/>
    <mergeCell ref="B44:C44"/>
    <mergeCell ref="A5:C5"/>
    <mergeCell ref="A7:C7"/>
    <mergeCell ref="A41:C41"/>
    <mergeCell ref="B42:C42"/>
  </mergeCells>
  <printOptions/>
  <pageMargins left="0.425" right="0.425" top="0.9881944444444445" bottom="0.39791666666666664" header="0.5118055555555555" footer="0.5118055555555555"/>
  <pageSetup fitToHeight="1" fitToWidth="1" horizontalDpi="300" verticalDpi="300" orientation="portrait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"/>
  <sheetViews>
    <sheetView zoomScale="75" zoomScaleNormal="75" zoomScaleSheetLayoutView="80" zoomScalePageLayoutView="0" workbookViewId="0" topLeftCell="A1">
      <selection activeCell="D29" sqref="D29"/>
    </sheetView>
  </sheetViews>
  <sheetFormatPr defaultColWidth="8.796875" defaultRowHeight="15"/>
  <cols>
    <col min="1" max="1" width="3.8984375" style="148" customWidth="1"/>
    <col min="2" max="2" width="16" style="149" customWidth="1"/>
    <col min="3" max="4" width="10.8984375" style="149" customWidth="1"/>
    <col min="5" max="5" width="6.19921875" style="149" customWidth="1"/>
    <col min="6" max="6" width="13.8984375" style="149" customWidth="1"/>
    <col min="7" max="7" width="13.19921875" style="149" customWidth="1"/>
    <col min="8" max="8" width="16" style="149" customWidth="1"/>
    <col min="9" max="9" width="11.59765625" style="149" customWidth="1"/>
    <col min="10" max="10" width="16.8984375" style="149" customWidth="1"/>
    <col min="11" max="11" width="13.19921875" style="149" customWidth="1"/>
    <col min="12" max="16384" width="9" style="148" customWidth="1"/>
  </cols>
  <sheetData>
    <row r="2" ht="15.75">
      <c r="K2" s="112" t="s">
        <v>176</v>
      </c>
    </row>
    <row r="3" ht="15.75">
      <c r="K3" s="424" t="s">
        <v>629</v>
      </c>
    </row>
    <row r="4" ht="15.75">
      <c r="K4" s="424" t="s">
        <v>630</v>
      </c>
    </row>
    <row r="5" ht="15.75">
      <c r="K5" s="112"/>
    </row>
    <row r="6" spans="1:11" ht="33.75" customHeight="1">
      <c r="A6" s="748" t="s">
        <v>252</v>
      </c>
      <c r="B6" s="748"/>
      <c r="C6" s="748"/>
      <c r="D6" s="748"/>
      <c r="E6" s="748"/>
      <c r="F6" s="748"/>
      <c r="G6" s="748"/>
      <c r="H6" s="748"/>
      <c r="I6" s="748"/>
      <c r="J6" s="748"/>
      <c r="K6" s="748"/>
    </row>
    <row r="7" ht="15.75">
      <c r="K7" s="112" t="s">
        <v>256</v>
      </c>
    </row>
    <row r="8" ht="15.75">
      <c r="K8" s="112" t="s">
        <v>631</v>
      </c>
    </row>
    <row r="9" ht="15.75">
      <c r="K9" s="112"/>
    </row>
    <row r="10" ht="15.75">
      <c r="K10" s="115" t="s">
        <v>259</v>
      </c>
    </row>
    <row r="11" ht="15.75">
      <c r="K11" s="112" t="s">
        <v>260</v>
      </c>
    </row>
    <row r="12" ht="15.75">
      <c r="K12" s="112" t="s">
        <v>261</v>
      </c>
    </row>
    <row r="14" spans="1:11" s="149" customFormat="1" ht="84.75" customHeight="1">
      <c r="A14" s="698" t="s">
        <v>659</v>
      </c>
      <c r="B14" s="693" t="s">
        <v>660</v>
      </c>
      <c r="C14" s="693" t="s">
        <v>663</v>
      </c>
      <c r="D14" s="693"/>
      <c r="E14" s="693"/>
      <c r="F14" s="693" t="s">
        <v>665</v>
      </c>
      <c r="G14" s="693"/>
      <c r="H14" s="693" t="s">
        <v>666</v>
      </c>
      <c r="I14" s="693"/>
      <c r="J14" s="693"/>
      <c r="K14" s="693"/>
    </row>
    <row r="15" spans="1:11" s="149" customFormat="1" ht="39.75" customHeight="1">
      <c r="A15" s="698"/>
      <c r="B15" s="693"/>
      <c r="C15" s="690" t="s">
        <v>673</v>
      </c>
      <c r="D15" s="690" t="s">
        <v>674</v>
      </c>
      <c r="E15" s="690" t="s">
        <v>675</v>
      </c>
      <c r="F15" s="690" t="s">
        <v>676</v>
      </c>
      <c r="G15" s="690" t="s">
        <v>677</v>
      </c>
      <c r="H15" s="690" t="s">
        <v>678</v>
      </c>
      <c r="I15" s="690" t="s">
        <v>679</v>
      </c>
      <c r="J15" s="690" t="s">
        <v>680</v>
      </c>
      <c r="K15" s="690" t="s">
        <v>681</v>
      </c>
    </row>
    <row r="16" spans="1:11" ht="63.75" customHeight="1">
      <c r="A16" s="698"/>
      <c r="B16" s="693"/>
      <c r="C16" s="693"/>
      <c r="D16" s="693"/>
      <c r="E16" s="693"/>
      <c r="F16" s="693"/>
      <c r="G16" s="693"/>
      <c r="H16" s="693"/>
      <c r="I16" s="693"/>
      <c r="J16" s="693"/>
      <c r="K16" s="693"/>
    </row>
    <row r="17" spans="1:11" ht="22.5" customHeight="1">
      <c r="A17" s="609"/>
      <c r="B17" s="160"/>
      <c r="C17" s="160"/>
      <c r="D17" s="160"/>
      <c r="E17" s="160"/>
      <c r="F17" s="160"/>
      <c r="G17" s="160"/>
      <c r="H17" s="160"/>
      <c r="I17" s="160"/>
      <c r="J17" s="160"/>
      <c r="K17" s="160"/>
    </row>
    <row r="18" spans="1:11" ht="15">
      <c r="A18" s="609"/>
      <c r="B18" s="160"/>
      <c r="C18" s="160"/>
      <c r="D18" s="160"/>
      <c r="E18" s="160"/>
      <c r="F18" s="160"/>
      <c r="G18" s="160"/>
      <c r="H18" s="160"/>
      <c r="I18" s="160"/>
      <c r="J18" s="160"/>
      <c r="K18" s="160"/>
    </row>
    <row r="19" spans="1:11" ht="15">
      <c r="A19" s="609"/>
      <c r="B19" s="160"/>
      <c r="C19" s="160"/>
      <c r="D19" s="160"/>
      <c r="E19" s="160"/>
      <c r="F19" s="160"/>
      <c r="G19" s="160"/>
      <c r="H19" s="160"/>
      <c r="I19" s="160"/>
      <c r="J19" s="160"/>
      <c r="K19" s="160"/>
    </row>
    <row r="20" spans="1:11" ht="15">
      <c r="A20" s="609"/>
      <c r="B20" s="160"/>
      <c r="C20" s="160"/>
      <c r="D20" s="160"/>
      <c r="E20" s="160"/>
      <c r="F20" s="160"/>
      <c r="G20" s="160"/>
      <c r="H20" s="160"/>
      <c r="I20" s="160"/>
      <c r="J20" s="160"/>
      <c r="K20" s="160"/>
    </row>
    <row r="21" spans="1:11" ht="15">
      <c r="A21" s="610"/>
      <c r="B21" s="611"/>
      <c r="C21" s="611"/>
      <c r="D21" s="611"/>
      <c r="E21" s="611"/>
      <c r="F21" s="611"/>
      <c r="G21" s="611"/>
      <c r="H21" s="174"/>
      <c r="I21" s="174"/>
      <c r="J21" s="174"/>
      <c r="K21" s="174"/>
    </row>
  </sheetData>
  <sheetProtection selectLockedCells="1" selectUnlockedCells="1"/>
  <mergeCells count="15">
    <mergeCell ref="K15:K16"/>
    <mergeCell ref="G15:G16"/>
    <mergeCell ref="H15:H16"/>
    <mergeCell ref="I15:I16"/>
    <mergeCell ref="J15:J16"/>
    <mergeCell ref="A6:K6"/>
    <mergeCell ref="A14:A16"/>
    <mergeCell ref="B14:B16"/>
    <mergeCell ref="C14:E14"/>
    <mergeCell ref="F14:G14"/>
    <mergeCell ref="H14:K14"/>
    <mergeCell ref="C15:C16"/>
    <mergeCell ref="D15:D16"/>
    <mergeCell ref="E15:E16"/>
    <mergeCell ref="F15:F16"/>
  </mergeCells>
  <printOptions/>
  <pageMargins left="0.9763888888888889" right="0.425" top="0.39791666666666664" bottom="0.39791666666666664" header="0.5118055555555555" footer="0.5118055555555555"/>
  <pageSetup fitToHeight="1" fitToWidth="1" horizontalDpi="300" verticalDpi="3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="75" zoomScaleNormal="75" zoomScaleSheetLayoutView="80" zoomScalePageLayoutView="0" workbookViewId="0" topLeftCell="A55">
      <selection activeCell="N94" sqref="N94"/>
    </sheetView>
  </sheetViews>
  <sheetFormatPr defaultColWidth="8.796875" defaultRowHeight="15"/>
  <cols>
    <col min="1" max="1" width="9.8984375" style="1" customWidth="1"/>
    <col min="2" max="2" width="39" style="1" customWidth="1"/>
    <col min="3" max="3" width="14.69921875" style="1" customWidth="1"/>
    <col min="4" max="4" width="9.19921875" style="1" customWidth="1"/>
    <col min="5" max="7" width="6.09765625" style="1" customWidth="1"/>
    <col min="8" max="8" width="8.5" style="1" customWidth="1"/>
    <col min="9" max="9" width="13.69921875" style="1" customWidth="1"/>
  </cols>
  <sheetData>
    <row r="1" ht="15.75">
      <c r="I1" s="424" t="s">
        <v>177</v>
      </c>
    </row>
    <row r="2" ht="15.75">
      <c r="I2" s="424" t="s">
        <v>629</v>
      </c>
    </row>
    <row r="3" ht="15.75">
      <c r="I3" s="424" t="s">
        <v>630</v>
      </c>
    </row>
    <row r="4" ht="15.75">
      <c r="I4" s="424"/>
    </row>
    <row r="5" spans="1:9" ht="35.25" customHeight="1">
      <c r="A5" s="712" t="s">
        <v>254</v>
      </c>
      <c r="B5" s="712"/>
      <c r="C5" s="712"/>
      <c r="D5" s="712"/>
      <c r="E5" s="712"/>
      <c r="F5" s="712"/>
      <c r="G5" s="712"/>
      <c r="H5" s="712"/>
      <c r="I5" s="712"/>
    </row>
    <row r="7" ht="15.75">
      <c r="I7" s="112" t="s">
        <v>256</v>
      </c>
    </row>
    <row r="8" ht="15.75">
      <c r="I8" s="112" t="s">
        <v>631</v>
      </c>
    </row>
    <row r="9" ht="15.75">
      <c r="I9" s="112"/>
    </row>
    <row r="10" ht="15.75">
      <c r="I10" s="115" t="s">
        <v>259</v>
      </c>
    </row>
    <row r="11" ht="15.75">
      <c r="I11" s="112" t="s">
        <v>260</v>
      </c>
    </row>
    <row r="12" ht="15.75">
      <c r="I12" s="112" t="s">
        <v>261</v>
      </c>
    </row>
    <row r="13" ht="15.75">
      <c r="I13" s="112"/>
    </row>
    <row r="14" spans="1:9" ht="15.75">
      <c r="A14" s="670" t="s">
        <v>178</v>
      </c>
      <c r="B14" s="670"/>
      <c r="C14" s="670"/>
      <c r="D14" s="670"/>
      <c r="E14" s="670"/>
      <c r="F14" s="670"/>
      <c r="G14" s="670"/>
      <c r="H14" s="670"/>
      <c r="I14" s="670"/>
    </row>
    <row r="15" ht="15.75">
      <c r="I15" s="112"/>
    </row>
    <row r="16" spans="1:9" ht="126" customHeight="1">
      <c r="A16" s="671" t="s">
        <v>262</v>
      </c>
      <c r="B16" s="672" t="s">
        <v>263</v>
      </c>
      <c r="C16" s="672" t="s">
        <v>1062</v>
      </c>
      <c r="D16" s="673" t="s">
        <v>633</v>
      </c>
      <c r="E16" s="673"/>
      <c r="F16" s="673"/>
      <c r="G16" s="673"/>
      <c r="H16" s="673"/>
      <c r="I16" s="672" t="s">
        <v>1065</v>
      </c>
    </row>
    <row r="17" spans="1:9" ht="38.25" customHeight="1">
      <c r="A17" s="671"/>
      <c r="B17" s="672"/>
      <c r="C17" s="672"/>
      <c r="D17" s="32" t="s">
        <v>179</v>
      </c>
      <c r="E17" s="32" t="s">
        <v>639</v>
      </c>
      <c r="F17" s="32" t="s">
        <v>640</v>
      </c>
      <c r="G17" s="32" t="s">
        <v>641</v>
      </c>
      <c r="H17" s="32" t="s">
        <v>642</v>
      </c>
      <c r="I17" s="672"/>
    </row>
    <row r="18" spans="1:9" ht="81.75" customHeight="1">
      <c r="A18" s="671"/>
      <c r="B18" s="672"/>
      <c r="C18" s="672"/>
      <c r="D18" s="118" t="s">
        <v>1068</v>
      </c>
      <c r="E18" s="118" t="s">
        <v>647</v>
      </c>
      <c r="F18" s="118" t="s">
        <v>647</v>
      </c>
      <c r="G18" s="118" t="s">
        <v>647</v>
      </c>
      <c r="H18" s="118" t="s">
        <v>647</v>
      </c>
      <c r="I18" s="672"/>
    </row>
    <row r="19" spans="1:9" ht="15.75">
      <c r="A19" s="120"/>
      <c r="B19" s="121" t="s">
        <v>279</v>
      </c>
      <c r="C19" s="121"/>
      <c r="D19" s="121"/>
      <c r="E19" s="121"/>
      <c r="F19" s="122"/>
      <c r="G19" s="121"/>
      <c r="H19" s="122"/>
      <c r="I19" s="122"/>
    </row>
    <row r="20" spans="1:9" ht="31.5">
      <c r="A20" s="125" t="s">
        <v>653</v>
      </c>
      <c r="B20" s="30" t="s">
        <v>280</v>
      </c>
      <c r="C20" s="30"/>
      <c r="D20" s="30"/>
      <c r="E20" s="30"/>
      <c r="F20" s="30"/>
      <c r="G20" s="30"/>
      <c r="H20" s="33"/>
      <c r="I20" s="33"/>
    </row>
    <row r="21" spans="1:9" ht="31.5">
      <c r="A21" s="128" t="s">
        <v>199</v>
      </c>
      <c r="B21" s="30" t="s">
        <v>281</v>
      </c>
      <c r="C21" s="30"/>
      <c r="D21" s="30"/>
      <c r="E21" s="30"/>
      <c r="F21" s="30"/>
      <c r="G21" s="30"/>
      <c r="H21" s="33"/>
      <c r="I21" s="33"/>
    </row>
    <row r="22" spans="1:9" ht="15.75">
      <c r="A22" s="129">
        <v>1</v>
      </c>
      <c r="B22" s="39" t="s">
        <v>615</v>
      </c>
      <c r="C22" s="39"/>
      <c r="D22" s="39"/>
      <c r="E22" s="39"/>
      <c r="F22" s="39"/>
      <c r="G22" s="39"/>
      <c r="H22" s="33"/>
      <c r="I22" s="33"/>
    </row>
    <row r="23" spans="1:9" ht="15.75">
      <c r="A23" s="129">
        <v>2</v>
      </c>
      <c r="B23" s="39" t="s">
        <v>616</v>
      </c>
      <c r="C23" s="39"/>
      <c r="D23" s="39"/>
      <c r="E23" s="39"/>
      <c r="F23" s="39"/>
      <c r="G23" s="39"/>
      <c r="H23" s="33"/>
      <c r="I23" s="33"/>
    </row>
    <row r="24" spans="1:9" ht="15.75">
      <c r="A24" s="130" t="s">
        <v>617</v>
      </c>
      <c r="B24" s="131"/>
      <c r="C24" s="131"/>
      <c r="D24" s="131"/>
      <c r="E24" s="131"/>
      <c r="F24" s="131"/>
      <c r="G24" s="131"/>
      <c r="H24" s="132"/>
      <c r="I24" s="132"/>
    </row>
    <row r="25" spans="1:9" ht="31.5">
      <c r="A25" s="135" t="s">
        <v>201</v>
      </c>
      <c r="B25" s="136" t="s">
        <v>294</v>
      </c>
      <c r="C25" s="136"/>
      <c r="D25" s="131"/>
      <c r="E25" s="131"/>
      <c r="F25" s="131"/>
      <c r="G25" s="131"/>
      <c r="H25" s="132"/>
      <c r="I25" s="132"/>
    </row>
    <row r="26" spans="1:9" ht="15.75">
      <c r="A26" s="129">
        <v>1</v>
      </c>
      <c r="B26" s="39" t="s">
        <v>615</v>
      </c>
      <c r="C26" s="131"/>
      <c r="D26" s="131"/>
      <c r="E26" s="131"/>
      <c r="F26" s="131"/>
      <c r="G26" s="131"/>
      <c r="H26" s="132"/>
      <c r="I26" s="132"/>
    </row>
    <row r="27" spans="1:9" ht="15.75">
      <c r="A27" s="129">
        <v>2</v>
      </c>
      <c r="B27" s="39" t="s">
        <v>616</v>
      </c>
      <c r="C27" s="131"/>
      <c r="D27" s="131"/>
      <c r="E27" s="131"/>
      <c r="F27" s="131"/>
      <c r="G27" s="131"/>
      <c r="H27" s="132"/>
      <c r="I27" s="132"/>
    </row>
    <row r="28" spans="1:9" ht="15.75">
      <c r="A28" s="130" t="s">
        <v>617</v>
      </c>
      <c r="B28" s="131"/>
      <c r="C28" s="131"/>
      <c r="D28" s="131"/>
      <c r="E28" s="131"/>
      <c r="F28" s="131"/>
      <c r="G28" s="131"/>
      <c r="H28" s="132"/>
      <c r="I28" s="132"/>
    </row>
    <row r="29" spans="1:9" ht="15.75">
      <c r="A29" s="135" t="s">
        <v>204</v>
      </c>
      <c r="B29" s="136" t="s">
        <v>299</v>
      </c>
      <c r="C29" s="136"/>
      <c r="D29" s="131"/>
      <c r="E29" s="131"/>
      <c r="F29" s="131"/>
      <c r="G29" s="131"/>
      <c r="H29" s="132"/>
      <c r="I29" s="132"/>
    </row>
    <row r="30" spans="1:9" ht="15.75">
      <c r="A30" s="130">
        <v>1</v>
      </c>
      <c r="B30" s="131" t="s">
        <v>615</v>
      </c>
      <c r="C30" s="131"/>
      <c r="D30" s="131"/>
      <c r="E30" s="131"/>
      <c r="F30" s="131"/>
      <c r="G30" s="131"/>
      <c r="H30" s="132"/>
      <c r="I30" s="132"/>
    </row>
    <row r="31" spans="1:9" ht="15.75">
      <c r="A31" s="130">
        <v>2</v>
      </c>
      <c r="B31" s="131" t="s">
        <v>616</v>
      </c>
      <c r="C31" s="131"/>
      <c r="D31" s="131"/>
      <c r="E31" s="131"/>
      <c r="F31" s="131"/>
      <c r="G31" s="131"/>
      <c r="H31" s="132"/>
      <c r="I31" s="132"/>
    </row>
    <row r="32" spans="1:9" ht="15.75">
      <c r="A32" s="130" t="s">
        <v>617</v>
      </c>
      <c r="B32" s="131"/>
      <c r="C32" s="131"/>
      <c r="D32" s="131"/>
      <c r="E32" s="131"/>
      <c r="F32" s="131"/>
      <c r="G32" s="131"/>
      <c r="H32" s="132"/>
      <c r="I32" s="132"/>
    </row>
    <row r="33" spans="1:9" ht="47.25">
      <c r="A33" s="135" t="s">
        <v>206</v>
      </c>
      <c r="B33" s="136" t="s">
        <v>307</v>
      </c>
      <c r="C33" s="131"/>
      <c r="D33" s="131"/>
      <c r="E33" s="131"/>
      <c r="F33" s="131"/>
      <c r="G33" s="131"/>
      <c r="H33" s="132"/>
      <c r="I33" s="132"/>
    </row>
    <row r="34" spans="1:9" ht="15.75">
      <c r="A34" s="130">
        <v>1</v>
      </c>
      <c r="B34" s="131" t="s">
        <v>615</v>
      </c>
      <c r="C34" s="131"/>
      <c r="D34" s="131"/>
      <c r="E34" s="131"/>
      <c r="F34" s="131"/>
      <c r="G34" s="131"/>
      <c r="H34" s="132"/>
      <c r="I34" s="132"/>
    </row>
    <row r="35" spans="1:9" ht="15.75">
      <c r="A35" s="130">
        <v>2</v>
      </c>
      <c r="B35" s="131" t="s">
        <v>616</v>
      </c>
      <c r="C35" s="131"/>
      <c r="D35" s="131"/>
      <c r="E35" s="131"/>
      <c r="F35" s="131"/>
      <c r="G35" s="131"/>
      <c r="H35" s="132"/>
      <c r="I35" s="132"/>
    </row>
    <row r="36" spans="1:9" ht="15.75">
      <c r="A36" s="130" t="s">
        <v>617</v>
      </c>
      <c r="B36" s="131"/>
      <c r="C36" s="131"/>
      <c r="D36" s="131"/>
      <c r="E36" s="131"/>
      <c r="F36" s="131"/>
      <c r="G36" s="131"/>
      <c r="H36" s="132"/>
      <c r="I36" s="132"/>
    </row>
    <row r="37" spans="1:9" ht="15.75">
      <c r="A37" s="125" t="s">
        <v>308</v>
      </c>
      <c r="B37" s="30" t="s">
        <v>309</v>
      </c>
      <c r="C37" s="30"/>
      <c r="D37" s="30"/>
      <c r="E37" s="30"/>
      <c r="F37" s="30"/>
      <c r="G37" s="30"/>
      <c r="H37" s="33"/>
      <c r="I37" s="33"/>
    </row>
    <row r="38" spans="1:9" ht="31.5">
      <c r="A38" s="128" t="s">
        <v>209</v>
      </c>
      <c r="B38" s="30" t="s">
        <v>281</v>
      </c>
      <c r="C38" s="30"/>
      <c r="D38" s="30"/>
      <c r="E38" s="30"/>
      <c r="F38" s="30"/>
      <c r="G38" s="30"/>
      <c r="H38" s="33"/>
      <c r="I38" s="33"/>
    </row>
    <row r="39" spans="1:9" ht="15.75">
      <c r="A39" s="129">
        <v>1</v>
      </c>
      <c r="B39" s="39" t="s">
        <v>615</v>
      </c>
      <c r="C39" s="30"/>
      <c r="D39" s="30"/>
      <c r="E39" s="30"/>
      <c r="F39" s="30"/>
      <c r="G39" s="30"/>
      <c r="H39" s="33"/>
      <c r="I39" s="33"/>
    </row>
    <row r="40" spans="1:9" ht="15.75">
      <c r="A40" s="129">
        <v>2</v>
      </c>
      <c r="B40" s="39" t="s">
        <v>616</v>
      </c>
      <c r="C40" s="30"/>
      <c r="D40" s="30"/>
      <c r="E40" s="30"/>
      <c r="F40" s="30"/>
      <c r="G40" s="30"/>
      <c r="H40" s="33"/>
      <c r="I40" s="33"/>
    </row>
    <row r="41" spans="1:9" ht="15.75">
      <c r="A41" s="130" t="s">
        <v>617</v>
      </c>
      <c r="B41" s="131"/>
      <c r="C41" s="30"/>
      <c r="D41" s="30"/>
      <c r="E41" s="30"/>
      <c r="F41" s="30"/>
      <c r="G41" s="30"/>
      <c r="H41" s="33"/>
      <c r="I41" s="33"/>
    </row>
    <row r="42" spans="1:9" ht="15.75">
      <c r="A42" s="137" t="s">
        <v>211</v>
      </c>
      <c r="B42" s="138" t="s">
        <v>312</v>
      </c>
      <c r="C42" s="30"/>
      <c r="D42" s="30"/>
      <c r="E42" s="30"/>
      <c r="F42" s="30"/>
      <c r="G42" s="30"/>
      <c r="H42" s="33"/>
      <c r="I42" s="33"/>
    </row>
    <row r="43" spans="1:9" ht="15.75">
      <c r="A43" s="129">
        <v>1</v>
      </c>
      <c r="B43" s="39" t="s">
        <v>615</v>
      </c>
      <c r="C43" s="30"/>
      <c r="D43" s="30"/>
      <c r="E43" s="30"/>
      <c r="F43" s="30"/>
      <c r="G43" s="30"/>
      <c r="H43" s="33"/>
      <c r="I43" s="33"/>
    </row>
    <row r="44" spans="1:9" ht="15.75">
      <c r="A44" s="129"/>
      <c r="B44" s="39" t="s">
        <v>654</v>
      </c>
      <c r="C44" s="30"/>
      <c r="D44" s="30"/>
      <c r="E44" s="30"/>
      <c r="F44" s="30"/>
      <c r="G44" s="30"/>
      <c r="H44" s="33"/>
      <c r="I44" s="33"/>
    </row>
    <row r="45" spans="1:9" ht="15.75">
      <c r="A45" s="129">
        <v>2</v>
      </c>
      <c r="B45" s="39" t="s">
        <v>616</v>
      </c>
      <c r="C45" s="30"/>
      <c r="D45" s="30"/>
      <c r="E45" s="30"/>
      <c r="F45" s="30"/>
      <c r="G45" s="30"/>
      <c r="H45" s="33"/>
      <c r="I45" s="33"/>
    </row>
    <row r="46" spans="1:9" ht="15.75">
      <c r="A46" s="129"/>
      <c r="B46" s="39" t="s">
        <v>654</v>
      </c>
      <c r="C46" s="39"/>
      <c r="D46" s="39"/>
      <c r="E46" s="39"/>
      <c r="F46" s="39"/>
      <c r="G46" s="39"/>
      <c r="H46" s="33"/>
      <c r="I46" s="33"/>
    </row>
    <row r="47" spans="1:9" ht="15.75">
      <c r="A47" s="129" t="s">
        <v>617</v>
      </c>
      <c r="B47" s="33"/>
      <c r="C47" s="33"/>
      <c r="D47" s="33"/>
      <c r="E47" s="33"/>
      <c r="F47" s="33"/>
      <c r="G47" s="33"/>
      <c r="H47" s="33"/>
      <c r="I47" s="33"/>
    </row>
    <row r="48" spans="1:9" ht="15.75" customHeight="1">
      <c r="A48" s="687" t="s">
        <v>313</v>
      </c>
      <c r="B48" s="687"/>
      <c r="C48" s="131"/>
      <c r="D48" s="131"/>
      <c r="E48" s="131"/>
      <c r="F48" s="131"/>
      <c r="G48" s="131"/>
      <c r="H48" s="132"/>
      <c r="I48" s="132"/>
    </row>
    <row r="49" spans="1:9" ht="31.5">
      <c r="A49" s="135"/>
      <c r="B49" s="136" t="s">
        <v>314</v>
      </c>
      <c r="C49" s="136"/>
      <c r="D49" s="131"/>
      <c r="E49" s="131"/>
      <c r="F49" s="131"/>
      <c r="G49" s="131"/>
      <c r="H49" s="132"/>
      <c r="I49" s="132"/>
    </row>
    <row r="50" spans="1:9" ht="15.75">
      <c r="A50" s="130">
        <v>1</v>
      </c>
      <c r="B50" s="131" t="s">
        <v>615</v>
      </c>
      <c r="C50" s="131"/>
      <c r="D50" s="131"/>
      <c r="E50" s="131"/>
      <c r="F50" s="131"/>
      <c r="G50" s="131"/>
      <c r="H50" s="132"/>
      <c r="I50" s="132"/>
    </row>
    <row r="51" spans="1:9" ht="15.75">
      <c r="A51" s="130">
        <v>2</v>
      </c>
      <c r="B51" s="131" t="s">
        <v>616</v>
      </c>
      <c r="C51" s="131"/>
      <c r="D51" s="131"/>
      <c r="E51" s="131"/>
      <c r="F51" s="131"/>
      <c r="G51" s="131"/>
      <c r="H51" s="132"/>
      <c r="I51" s="132"/>
    </row>
    <row r="52" spans="1:9" ht="15.75">
      <c r="A52" s="139" t="s">
        <v>617</v>
      </c>
      <c r="B52" s="140"/>
      <c r="C52" s="140"/>
      <c r="D52" s="140"/>
      <c r="E52" s="140"/>
      <c r="F52" s="140"/>
      <c r="G52" s="140"/>
      <c r="H52" s="140"/>
      <c r="I52" s="140"/>
    </row>
    <row r="53" spans="1:9" ht="15.75">
      <c r="A53" s="143"/>
      <c r="B53" s="143"/>
      <c r="C53" s="47"/>
      <c r="D53" s="47"/>
      <c r="E53" s="47"/>
      <c r="F53" s="47"/>
      <c r="G53" s="47"/>
      <c r="H53" s="47"/>
      <c r="I53" s="47"/>
    </row>
    <row r="54" spans="1:9" ht="15.75" customHeight="1">
      <c r="A54" s="688" t="s">
        <v>1070</v>
      </c>
      <c r="B54" s="688"/>
      <c r="C54" s="688"/>
      <c r="D54" s="688"/>
      <c r="E54" s="688"/>
      <c r="F54" s="688"/>
      <c r="G54" s="688"/>
      <c r="H54" s="688"/>
      <c r="I54" s="688"/>
    </row>
    <row r="55" spans="1:9" ht="15.75" customHeight="1">
      <c r="A55" s="688" t="s">
        <v>1071</v>
      </c>
      <c r="B55" s="688"/>
      <c r="C55" s="688"/>
      <c r="D55" s="688"/>
      <c r="E55" s="688"/>
      <c r="F55" s="688"/>
      <c r="G55" s="688"/>
      <c r="H55" s="688"/>
      <c r="I55" s="688"/>
    </row>
    <row r="56" spans="1:9" ht="15.75">
      <c r="A56" s="47"/>
      <c r="B56" s="47"/>
      <c r="C56" s="47"/>
      <c r="D56" s="47"/>
      <c r="E56" s="47"/>
      <c r="F56" s="47"/>
      <c r="G56" s="47"/>
      <c r="H56" s="47"/>
      <c r="I56" s="47"/>
    </row>
    <row r="57" spans="1:9" ht="15.75">
      <c r="A57" s="47"/>
      <c r="B57" s="47"/>
      <c r="C57" s="47"/>
      <c r="D57" s="47"/>
      <c r="E57" s="47"/>
      <c r="F57" s="47"/>
      <c r="G57" s="47"/>
      <c r="H57" s="47"/>
      <c r="I57" s="47"/>
    </row>
    <row r="58" spans="1:9" ht="15.75">
      <c r="A58" s="47"/>
      <c r="B58" s="47"/>
      <c r="C58" s="47"/>
      <c r="D58" s="47"/>
      <c r="E58" s="47"/>
      <c r="F58" s="47"/>
      <c r="G58" s="47"/>
      <c r="H58" s="47"/>
      <c r="I58" s="47"/>
    </row>
    <row r="59" spans="1:9" ht="15.75">
      <c r="A59" s="47"/>
      <c r="B59" s="47"/>
      <c r="C59" s="47"/>
      <c r="D59" s="47"/>
      <c r="E59" s="47"/>
      <c r="F59" s="47"/>
      <c r="G59" s="47"/>
      <c r="H59" s="47"/>
      <c r="I59" s="47"/>
    </row>
    <row r="60" spans="1:9" ht="15.75">
      <c r="A60" s="47"/>
      <c r="B60" s="47"/>
      <c r="C60" s="47"/>
      <c r="D60" s="47"/>
      <c r="E60" s="47"/>
      <c r="F60" s="47"/>
      <c r="G60" s="47"/>
      <c r="H60" s="47"/>
      <c r="I60" s="47"/>
    </row>
    <row r="61" spans="1:9" ht="15.75">
      <c r="A61" s="47"/>
      <c r="B61" s="47"/>
      <c r="C61" s="47"/>
      <c r="D61" s="47"/>
      <c r="E61" s="47"/>
      <c r="F61" s="47"/>
      <c r="G61" s="47"/>
      <c r="H61" s="47"/>
      <c r="I61" s="47"/>
    </row>
    <row r="62" spans="1:9" ht="15.75">
      <c r="A62" s="47"/>
      <c r="B62" s="47"/>
      <c r="C62" s="47"/>
      <c r="D62" s="47"/>
      <c r="E62" s="47"/>
      <c r="F62" s="47"/>
      <c r="G62" s="47"/>
      <c r="H62" s="47"/>
      <c r="I62" s="47"/>
    </row>
    <row r="63" spans="1:9" ht="15.75">
      <c r="A63" s="47"/>
      <c r="B63" s="47"/>
      <c r="C63" s="47"/>
      <c r="D63" s="47"/>
      <c r="E63" s="47"/>
      <c r="F63" s="47"/>
      <c r="G63" s="47"/>
      <c r="H63" s="47"/>
      <c r="I63" s="47"/>
    </row>
    <row r="64" spans="1:9" ht="15.75">
      <c r="A64" s="670" t="s">
        <v>180</v>
      </c>
      <c r="B64" s="670"/>
      <c r="C64" s="670"/>
      <c r="D64" s="670"/>
      <c r="E64" s="670"/>
      <c r="F64" s="670"/>
      <c r="G64" s="670"/>
      <c r="H64" s="670"/>
      <c r="I64" s="670"/>
    </row>
    <row r="65" spans="1:8" ht="15.75">
      <c r="A65" s="113"/>
      <c r="H65" s="112"/>
    </row>
    <row r="66" spans="1:9" ht="15.75" customHeight="1">
      <c r="A66" s="671" t="s">
        <v>262</v>
      </c>
      <c r="B66" s="672" t="s">
        <v>973</v>
      </c>
      <c r="C66" s="673" t="s">
        <v>633</v>
      </c>
      <c r="D66" s="673"/>
      <c r="E66" s="673"/>
      <c r="F66" s="673"/>
      <c r="G66" s="673"/>
      <c r="H66" s="684" t="s">
        <v>1067</v>
      </c>
      <c r="I66" s="684"/>
    </row>
    <row r="67" spans="1:9" ht="15.75">
      <c r="A67" s="671"/>
      <c r="B67" s="672"/>
      <c r="C67" s="32" t="s">
        <v>638</v>
      </c>
      <c r="D67" s="32" t="s">
        <v>639</v>
      </c>
      <c r="E67" s="32" t="s">
        <v>640</v>
      </c>
      <c r="F67" s="32" t="s">
        <v>641</v>
      </c>
      <c r="G67" s="32" t="s">
        <v>642</v>
      </c>
      <c r="H67" s="684"/>
      <c r="I67" s="684"/>
    </row>
    <row r="68" spans="1:9" ht="15.75">
      <c r="A68" s="671"/>
      <c r="B68" s="672"/>
      <c r="C68" s="118" t="s">
        <v>1083</v>
      </c>
      <c r="D68" s="118" t="s">
        <v>647</v>
      </c>
      <c r="E68" s="118" t="s">
        <v>647</v>
      </c>
      <c r="F68" s="118" t="s">
        <v>647</v>
      </c>
      <c r="G68" s="118" t="s">
        <v>647</v>
      </c>
      <c r="H68" s="684"/>
      <c r="I68" s="684"/>
    </row>
    <row r="69" spans="1:9" ht="15.75">
      <c r="A69" s="494">
        <v>1</v>
      </c>
      <c r="B69" s="495" t="s">
        <v>979</v>
      </c>
      <c r="C69" s="121"/>
      <c r="D69" s="121"/>
      <c r="E69" s="121"/>
      <c r="F69" s="121"/>
      <c r="G69" s="122"/>
      <c r="H69" s="756"/>
      <c r="I69" s="756"/>
    </row>
    <row r="70" spans="1:9" ht="15.75">
      <c r="A70" s="497" t="s">
        <v>199</v>
      </c>
      <c r="B70" s="39" t="s">
        <v>980</v>
      </c>
      <c r="C70" s="39"/>
      <c r="D70" s="39"/>
      <c r="E70" s="39"/>
      <c r="F70" s="39"/>
      <c r="G70" s="33"/>
      <c r="H70" s="749"/>
      <c r="I70" s="749"/>
    </row>
    <row r="71" spans="1:9" ht="31.5">
      <c r="A71" s="497" t="s">
        <v>282</v>
      </c>
      <c r="B71" s="39" t="s">
        <v>181</v>
      </c>
      <c r="C71" s="39"/>
      <c r="D71" s="39"/>
      <c r="E71" s="39"/>
      <c r="F71" s="39"/>
      <c r="G71" s="33"/>
      <c r="H71" s="749"/>
      <c r="I71" s="749"/>
    </row>
    <row r="72" spans="1:9" ht="31.5">
      <c r="A72" s="497" t="s">
        <v>284</v>
      </c>
      <c r="B72" s="39" t="s">
        <v>182</v>
      </c>
      <c r="C72" s="33"/>
      <c r="D72" s="33"/>
      <c r="E72" s="33"/>
      <c r="F72" s="33"/>
      <c r="G72" s="33"/>
      <c r="H72" s="749"/>
      <c r="I72" s="749"/>
    </row>
    <row r="73" spans="1:9" ht="47.25">
      <c r="A73" s="497" t="s">
        <v>286</v>
      </c>
      <c r="B73" s="39" t="s">
        <v>183</v>
      </c>
      <c r="C73" s="30"/>
      <c r="D73" s="30"/>
      <c r="E73" s="30"/>
      <c r="F73" s="30"/>
      <c r="G73" s="33"/>
      <c r="H73" s="749"/>
      <c r="I73" s="749"/>
    </row>
    <row r="74" spans="1:9" ht="31.5">
      <c r="A74" s="497" t="s">
        <v>984</v>
      </c>
      <c r="B74" s="39" t="s">
        <v>184</v>
      </c>
      <c r="C74" s="30"/>
      <c r="D74" s="30"/>
      <c r="E74" s="30"/>
      <c r="F74" s="30"/>
      <c r="G74" s="33"/>
      <c r="H74" s="749"/>
      <c r="I74" s="749"/>
    </row>
    <row r="75" spans="1:9" ht="31.5">
      <c r="A75" s="497" t="s">
        <v>986</v>
      </c>
      <c r="B75" s="39" t="s">
        <v>185</v>
      </c>
      <c r="C75" s="39"/>
      <c r="D75" s="39"/>
      <c r="E75" s="39"/>
      <c r="F75" s="39"/>
      <c r="G75" s="33"/>
      <c r="H75" s="749"/>
      <c r="I75" s="749"/>
    </row>
    <row r="76" spans="1:9" ht="15.75">
      <c r="A76" s="497" t="s">
        <v>201</v>
      </c>
      <c r="B76" s="39" t="s">
        <v>769</v>
      </c>
      <c r="C76" s="39"/>
      <c r="D76" s="39"/>
      <c r="E76" s="39"/>
      <c r="F76" s="39"/>
      <c r="G76" s="33"/>
      <c r="H76" s="749"/>
      <c r="I76" s="749"/>
    </row>
    <row r="77" spans="1:9" ht="15.75">
      <c r="A77" s="497" t="s">
        <v>204</v>
      </c>
      <c r="B77" s="39" t="s">
        <v>995</v>
      </c>
      <c r="C77" s="39"/>
      <c r="D77" s="39"/>
      <c r="E77" s="39"/>
      <c r="F77" s="39"/>
      <c r="G77" s="33"/>
      <c r="H77" s="749"/>
      <c r="I77" s="749"/>
    </row>
    <row r="78" spans="1:9" ht="15.75">
      <c r="A78" s="497" t="s">
        <v>206</v>
      </c>
      <c r="B78" s="39" t="s">
        <v>996</v>
      </c>
      <c r="C78" s="39"/>
      <c r="D78" s="39"/>
      <c r="E78" s="39"/>
      <c r="F78" s="39"/>
      <c r="G78" s="33"/>
      <c r="H78" s="749"/>
      <c r="I78" s="749"/>
    </row>
    <row r="79" spans="1:9" ht="15.75">
      <c r="A79" s="497" t="s">
        <v>997</v>
      </c>
      <c r="B79" s="39" t="s">
        <v>186</v>
      </c>
      <c r="C79" s="39"/>
      <c r="D79" s="39"/>
      <c r="E79" s="39"/>
      <c r="F79" s="39"/>
      <c r="G79" s="33"/>
      <c r="H79" s="749"/>
      <c r="I79" s="749"/>
    </row>
    <row r="80" spans="1:9" ht="15.75">
      <c r="A80" s="497" t="s">
        <v>308</v>
      </c>
      <c r="B80" s="39" t="s">
        <v>187</v>
      </c>
      <c r="C80" s="39"/>
      <c r="D80" s="39"/>
      <c r="E80" s="39"/>
      <c r="F80" s="39"/>
      <c r="G80" s="33"/>
      <c r="H80" s="749"/>
      <c r="I80" s="749"/>
    </row>
    <row r="81" spans="1:9" ht="15.75">
      <c r="A81" s="497" t="s">
        <v>209</v>
      </c>
      <c r="B81" s="39" t="s">
        <v>1001</v>
      </c>
      <c r="C81" s="39"/>
      <c r="D81" s="39"/>
      <c r="E81" s="39"/>
      <c r="F81" s="39"/>
      <c r="G81" s="33"/>
      <c r="H81" s="749"/>
      <c r="I81" s="749"/>
    </row>
    <row r="82" spans="1:9" ht="15.75">
      <c r="A82" s="497" t="s">
        <v>211</v>
      </c>
      <c r="B82" s="39" t="s">
        <v>1002</v>
      </c>
      <c r="C82" s="39"/>
      <c r="D82" s="39"/>
      <c r="E82" s="39"/>
      <c r="F82" s="39"/>
      <c r="G82" s="33"/>
      <c r="H82" s="749"/>
      <c r="I82" s="749"/>
    </row>
    <row r="83" spans="1:9" ht="15.75">
      <c r="A83" s="497" t="s">
        <v>213</v>
      </c>
      <c r="B83" s="39" t="s">
        <v>1003</v>
      </c>
      <c r="C83" s="39"/>
      <c r="D83" s="39"/>
      <c r="E83" s="39"/>
      <c r="F83" s="39"/>
      <c r="G83" s="33"/>
      <c r="H83" s="749"/>
      <c r="I83" s="749"/>
    </row>
    <row r="84" spans="1:9" ht="15.75">
      <c r="A84" s="497" t="s">
        <v>812</v>
      </c>
      <c r="B84" s="39" t="s">
        <v>1004</v>
      </c>
      <c r="C84" s="39"/>
      <c r="D84" s="39"/>
      <c r="E84" s="39"/>
      <c r="F84" s="39"/>
      <c r="G84" s="33"/>
      <c r="H84" s="749"/>
      <c r="I84" s="749"/>
    </row>
    <row r="85" spans="1:9" ht="15.75">
      <c r="A85" s="497" t="s">
        <v>814</v>
      </c>
      <c r="B85" s="39" t="s">
        <v>1005</v>
      </c>
      <c r="C85" s="39"/>
      <c r="D85" s="39"/>
      <c r="E85" s="39"/>
      <c r="F85" s="39"/>
      <c r="G85" s="33"/>
      <c r="H85" s="749"/>
      <c r="I85" s="749"/>
    </row>
    <row r="86" spans="1:9" ht="15.75">
      <c r="A86" s="501" t="s">
        <v>816</v>
      </c>
      <c r="B86" s="502" t="s">
        <v>1008</v>
      </c>
      <c r="C86" s="502"/>
      <c r="D86" s="502"/>
      <c r="E86" s="502"/>
      <c r="F86" s="502"/>
      <c r="G86" s="140"/>
      <c r="H86" s="750"/>
      <c r="I86" s="750"/>
    </row>
    <row r="87" spans="1:8" ht="15.75">
      <c r="A87" s="49"/>
      <c r="B87" s="518"/>
      <c r="C87" s="47"/>
      <c r="D87" s="47"/>
      <c r="E87" s="47"/>
      <c r="F87" s="47"/>
      <c r="G87" s="47"/>
      <c r="H87" s="49"/>
    </row>
    <row r="88" spans="1:7" ht="15.75">
      <c r="A88" s="50" t="s">
        <v>1078</v>
      </c>
      <c r="C88" s="47"/>
      <c r="D88" s="47"/>
      <c r="E88" s="47"/>
      <c r="F88" s="47"/>
      <c r="G88" s="47"/>
    </row>
    <row r="90" spans="1:12" ht="15.75">
      <c r="A90" s="670" t="s">
        <v>188</v>
      </c>
      <c r="B90" s="670"/>
      <c r="C90" s="670"/>
      <c r="D90" s="670"/>
      <c r="E90" s="670"/>
      <c r="F90" s="670"/>
      <c r="G90" s="670"/>
      <c r="H90" s="670"/>
      <c r="I90" s="670"/>
      <c r="J90" s="670"/>
      <c r="K90" s="670"/>
      <c r="L90" s="670"/>
    </row>
    <row r="92" spans="1:12" ht="15.75" customHeight="1">
      <c r="A92" s="729" t="s">
        <v>621</v>
      </c>
      <c r="B92" s="752" t="s">
        <v>622</v>
      </c>
      <c r="C92" s="753" t="s">
        <v>271</v>
      </c>
      <c r="D92" s="753"/>
      <c r="E92" s="753"/>
      <c r="F92" s="753"/>
      <c r="G92" s="753"/>
      <c r="H92" s="754" t="s">
        <v>1082</v>
      </c>
      <c r="I92" s="754"/>
      <c r="J92" s="754"/>
      <c r="K92" s="754"/>
      <c r="L92" s="754"/>
    </row>
    <row r="93" spans="1:12" ht="15.75" customHeight="1">
      <c r="A93" s="729"/>
      <c r="B93" s="752"/>
      <c r="C93" s="731" t="s">
        <v>1083</v>
      </c>
      <c r="D93" s="731"/>
      <c r="E93" s="731"/>
      <c r="F93" s="731"/>
      <c r="G93" s="731"/>
      <c r="H93" s="751" t="s">
        <v>1083</v>
      </c>
      <c r="I93" s="751"/>
      <c r="J93" s="751"/>
      <c r="K93" s="751"/>
      <c r="L93" s="751"/>
    </row>
    <row r="94" spans="1:12" ht="15.75" customHeight="1">
      <c r="A94" s="729"/>
      <c r="B94" s="752"/>
      <c r="C94" s="733" t="s">
        <v>624</v>
      </c>
      <c r="D94" s="733"/>
      <c r="E94" s="733"/>
      <c r="F94" s="733"/>
      <c r="G94" s="733"/>
      <c r="H94" s="755" t="s">
        <v>624</v>
      </c>
      <c r="I94" s="755"/>
      <c r="J94" s="755"/>
      <c r="K94" s="755"/>
      <c r="L94" s="755"/>
    </row>
    <row r="95" spans="1:12" ht="47.25">
      <c r="A95" s="729"/>
      <c r="B95" s="752"/>
      <c r="C95" s="536" t="s">
        <v>189</v>
      </c>
      <c r="D95" s="118" t="s">
        <v>190</v>
      </c>
      <c r="E95" s="118" t="s">
        <v>191</v>
      </c>
      <c r="F95" s="118" t="s">
        <v>192</v>
      </c>
      <c r="G95" s="118" t="s">
        <v>193</v>
      </c>
      <c r="H95" s="536" t="s">
        <v>189</v>
      </c>
      <c r="I95" s="118" t="s">
        <v>190</v>
      </c>
      <c r="J95" s="118" t="s">
        <v>191</v>
      </c>
      <c r="K95" s="118" t="s">
        <v>192</v>
      </c>
      <c r="L95" s="537" t="s">
        <v>193</v>
      </c>
    </row>
    <row r="96" spans="1:12" ht="15.75">
      <c r="A96" s="539">
        <v>1</v>
      </c>
      <c r="B96" s="539">
        <v>2</v>
      </c>
      <c r="C96" s="540">
        <v>3</v>
      </c>
      <c r="D96" s="541">
        <v>4</v>
      </c>
      <c r="E96" s="541">
        <v>5</v>
      </c>
      <c r="F96" s="541">
        <v>6</v>
      </c>
      <c r="G96" s="541">
        <v>7</v>
      </c>
      <c r="H96" s="540">
        <v>8</v>
      </c>
      <c r="I96" s="541">
        <v>9</v>
      </c>
      <c r="J96" s="541">
        <v>10</v>
      </c>
      <c r="K96" s="541">
        <v>11</v>
      </c>
      <c r="L96" s="612">
        <v>12</v>
      </c>
    </row>
    <row r="97" spans="1:12" ht="15.75">
      <c r="A97" s="544"/>
      <c r="B97" s="545"/>
      <c r="C97" s="546"/>
      <c r="D97" s="523"/>
      <c r="E97" s="523"/>
      <c r="F97" s="523"/>
      <c r="G97" s="523"/>
      <c r="H97" s="546"/>
      <c r="I97" s="523"/>
      <c r="J97" s="523"/>
      <c r="K97" s="523"/>
      <c r="L97" s="613"/>
    </row>
    <row r="98" spans="1:12" ht="15.75">
      <c r="A98" s="525"/>
      <c r="B98" s="526"/>
      <c r="C98" s="526"/>
      <c r="D98" s="526"/>
      <c r="E98" s="526"/>
      <c r="F98" s="526"/>
      <c r="G98" s="526"/>
      <c r="H98" s="526"/>
      <c r="I98" s="526"/>
      <c r="J98" s="526"/>
      <c r="K98" s="526"/>
      <c r="L98" s="526"/>
    </row>
    <row r="99" ht="15.75">
      <c r="A99" s="1" t="s">
        <v>1078</v>
      </c>
    </row>
  </sheetData>
  <sheetProtection selectLockedCells="1" selectUnlockedCells="1"/>
  <mergeCells count="42">
    <mergeCell ref="A5:I5"/>
    <mergeCell ref="A14:I14"/>
    <mergeCell ref="A16:A18"/>
    <mergeCell ref="B16:B18"/>
    <mergeCell ref="C16:C18"/>
    <mergeCell ref="D16:H16"/>
    <mergeCell ref="I16:I18"/>
    <mergeCell ref="H75:I75"/>
    <mergeCell ref="H76:I76"/>
    <mergeCell ref="A48:B48"/>
    <mergeCell ref="A54:I54"/>
    <mergeCell ref="A55:I55"/>
    <mergeCell ref="A64:I64"/>
    <mergeCell ref="A66:A68"/>
    <mergeCell ref="B66:B68"/>
    <mergeCell ref="C66:G66"/>
    <mergeCell ref="H66:I68"/>
    <mergeCell ref="H69:I69"/>
    <mergeCell ref="H70:I70"/>
    <mergeCell ref="H71:I71"/>
    <mergeCell ref="H72:I72"/>
    <mergeCell ref="H73:I73"/>
    <mergeCell ref="H74:I74"/>
    <mergeCell ref="C94:G94"/>
    <mergeCell ref="H77:I77"/>
    <mergeCell ref="H78:I78"/>
    <mergeCell ref="H79:I79"/>
    <mergeCell ref="H80:I80"/>
    <mergeCell ref="H94:L94"/>
    <mergeCell ref="A90:L90"/>
    <mergeCell ref="A92:A95"/>
    <mergeCell ref="B92:B95"/>
    <mergeCell ref="C92:G92"/>
    <mergeCell ref="H92:L92"/>
    <mergeCell ref="C93:G93"/>
    <mergeCell ref="H85:I85"/>
    <mergeCell ref="H86:I86"/>
    <mergeCell ref="H93:L93"/>
    <mergeCell ref="H81:I81"/>
    <mergeCell ref="H82:I82"/>
    <mergeCell ref="H83:I83"/>
    <mergeCell ref="H84:I84"/>
  </mergeCells>
  <printOptions/>
  <pageMargins left="0.9763888888888889" right="0.425" top="0.39791666666666664" bottom="0.39791666666666664" header="0.5118055555555555" footer="0.5118055555555555"/>
  <pageSetup fitToHeight="2" fitToWidth="1"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="75" zoomScaleNormal="75" zoomScaleSheetLayoutView="80" zoomScalePageLayoutView="0" workbookViewId="0" topLeftCell="B1">
      <pane ySplit="12" topLeftCell="BM13" activePane="bottomLeft" state="frozen"/>
      <selection pane="topLeft" activeCell="A1" sqref="A1"/>
      <selection pane="bottomLeft" activeCell="C20" sqref="C20:C22"/>
    </sheetView>
  </sheetViews>
  <sheetFormatPr defaultColWidth="8.796875" defaultRowHeight="15"/>
  <cols>
    <col min="1" max="1" width="9" style="643" customWidth="1"/>
    <col min="2" max="2" width="56.8984375" style="27" customWidth="1"/>
    <col min="3" max="3" width="13.69921875" style="27" customWidth="1"/>
    <col min="4" max="4" width="22.19921875" style="27" customWidth="1"/>
    <col min="5" max="5" width="19.8984375" style="27" customWidth="1"/>
    <col min="6" max="6" width="17.19921875" style="27" customWidth="1"/>
    <col min="7" max="7" width="21.09765625" style="27" customWidth="1"/>
    <col min="8" max="8" width="0" style="27" hidden="1" customWidth="1"/>
    <col min="9" max="9" width="10.59765625" style="27" hidden="1" customWidth="1"/>
    <col min="10" max="10" width="22.69921875" style="27" customWidth="1"/>
    <col min="11" max="11" width="19.8984375" style="27" customWidth="1"/>
    <col min="12" max="12" width="24.5" style="27" customWidth="1"/>
    <col min="13" max="13" width="28.8984375" style="27" customWidth="1"/>
    <col min="14" max="15" width="9" style="643" customWidth="1"/>
    <col min="16" max="16" width="14.59765625" style="27" customWidth="1"/>
    <col min="17" max="16384" width="9" style="643" customWidth="1"/>
  </cols>
  <sheetData>
    <row r="1" spans="1:13" ht="37.5" customHeight="1">
      <c r="A1" s="681" t="s">
        <v>200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</row>
    <row r="2" spans="1:13" ht="18" customHeight="1">
      <c r="A2" s="614"/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52" t="s">
        <v>256</v>
      </c>
    </row>
    <row r="3" spans="1:13" ht="19.5" customHeight="1">
      <c r="A3" s="614"/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51" t="s">
        <v>32</v>
      </c>
    </row>
    <row r="4" spans="1:13" ht="19.5" customHeight="1">
      <c r="A4" s="614"/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51" t="s">
        <v>970</v>
      </c>
    </row>
    <row r="5" spans="1:13" ht="19.5" customHeight="1">
      <c r="A5" s="614"/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50" t="s">
        <v>31</v>
      </c>
    </row>
    <row r="6" spans="1:13" ht="21.75" customHeight="1">
      <c r="A6" s="614"/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51" t="s">
        <v>30</v>
      </c>
    </row>
    <row r="7" spans="1:13" ht="18" customHeight="1">
      <c r="A7" s="614"/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650" t="s">
        <v>261</v>
      </c>
    </row>
    <row r="8" spans="1:12" ht="18.75" customHeight="1">
      <c r="A8" s="614"/>
      <c r="B8" s="614"/>
      <c r="C8" s="614"/>
      <c r="D8" s="614"/>
      <c r="E8" s="614"/>
      <c r="F8" s="614"/>
      <c r="G8" s="614"/>
      <c r="H8" s="614"/>
      <c r="I8" s="614"/>
      <c r="J8" s="614"/>
      <c r="K8" s="614"/>
      <c r="L8" s="614"/>
    </row>
    <row r="9" ht="21.75" customHeight="1">
      <c r="M9" s="27" t="s">
        <v>37</v>
      </c>
    </row>
    <row r="10" spans="1:13" ht="21" customHeight="1">
      <c r="A10" s="682" t="s">
        <v>262</v>
      </c>
      <c r="B10" s="682" t="s">
        <v>263</v>
      </c>
      <c r="C10" s="682" t="s">
        <v>264</v>
      </c>
      <c r="D10" s="682" t="s">
        <v>265</v>
      </c>
      <c r="E10" s="682" t="s">
        <v>266</v>
      </c>
      <c r="F10" s="682" t="s">
        <v>267</v>
      </c>
      <c r="G10" s="682" t="s">
        <v>268</v>
      </c>
      <c r="H10" s="682" t="s">
        <v>269</v>
      </c>
      <c r="I10" s="682" t="s">
        <v>270</v>
      </c>
      <c r="J10" s="674" t="s">
        <v>271</v>
      </c>
      <c r="K10" s="674"/>
      <c r="L10" s="674" t="s">
        <v>272</v>
      </c>
      <c r="M10" s="674"/>
    </row>
    <row r="11" spans="1:13" ht="71.25" customHeight="1">
      <c r="A11" s="682"/>
      <c r="B11" s="682"/>
      <c r="C11" s="682"/>
      <c r="D11" s="682"/>
      <c r="E11" s="682"/>
      <c r="F11" s="682"/>
      <c r="G11" s="682"/>
      <c r="H11" s="682"/>
      <c r="I11" s="682"/>
      <c r="J11" s="30" t="s">
        <v>273</v>
      </c>
      <c r="K11" s="30" t="s">
        <v>274</v>
      </c>
      <c r="L11" s="30" t="s">
        <v>275</v>
      </c>
      <c r="M11" s="30" t="s">
        <v>274</v>
      </c>
    </row>
    <row r="12" spans="1:13" ht="31.5">
      <c r="A12" s="682"/>
      <c r="B12" s="682"/>
      <c r="C12" s="33" t="s">
        <v>276</v>
      </c>
      <c r="D12" s="33" t="s">
        <v>277</v>
      </c>
      <c r="E12" s="682"/>
      <c r="F12" s="682"/>
      <c r="G12" s="33" t="s">
        <v>278</v>
      </c>
      <c r="H12" s="33" t="s">
        <v>278</v>
      </c>
      <c r="I12" s="33" t="s">
        <v>278</v>
      </c>
      <c r="J12" s="33" t="s">
        <v>277</v>
      </c>
      <c r="K12" s="33" t="s">
        <v>277</v>
      </c>
      <c r="L12" s="33" t="s">
        <v>278</v>
      </c>
      <c r="M12" s="33" t="s">
        <v>278</v>
      </c>
    </row>
    <row r="13" spans="1:16" ht="15.75">
      <c r="A13" s="30"/>
      <c r="B13" s="30" t="s">
        <v>279</v>
      </c>
      <c r="C13" s="30"/>
      <c r="D13" s="33"/>
      <c r="E13" s="30"/>
      <c r="F13" s="30"/>
      <c r="G13" s="33"/>
      <c r="H13" s="33"/>
      <c r="I13" s="30"/>
      <c r="J13" s="33"/>
      <c r="K13" s="33"/>
      <c r="L13" s="34">
        <f>L15+L22+L30+L25</f>
        <v>69.22135</v>
      </c>
      <c r="M13" s="34">
        <f>M15+M22+M30+M25</f>
        <v>69.22135</v>
      </c>
      <c r="O13" s="41"/>
      <c r="P13" s="42"/>
    </row>
    <row r="14" spans="1:13" ht="15.75">
      <c r="A14" s="30">
        <v>1</v>
      </c>
      <c r="B14" s="35" t="s">
        <v>280</v>
      </c>
      <c r="C14" s="30"/>
      <c r="D14" s="30"/>
      <c r="E14" s="30"/>
      <c r="F14" s="30"/>
      <c r="G14" s="30"/>
      <c r="H14" s="30"/>
      <c r="I14" s="30"/>
      <c r="J14" s="33"/>
      <c r="K14" s="33"/>
      <c r="L14" s="36"/>
      <c r="M14" s="36"/>
    </row>
    <row r="15" spans="1:16" ht="31.5">
      <c r="A15" s="37" t="s">
        <v>199</v>
      </c>
      <c r="B15" s="35" t="s">
        <v>281</v>
      </c>
      <c r="C15" s="30"/>
      <c r="D15" s="30"/>
      <c r="E15" s="30"/>
      <c r="F15" s="30"/>
      <c r="G15" s="30"/>
      <c r="H15" s="30"/>
      <c r="I15" s="30"/>
      <c r="J15" s="33"/>
      <c r="K15" s="33"/>
      <c r="L15" s="34">
        <f>L19+L20+L16+L18+L17+L21</f>
        <v>48.37075000000001</v>
      </c>
      <c r="M15" s="34">
        <f>M19+M20+M16+M18+M17+M21</f>
        <v>48.37075000000001</v>
      </c>
      <c r="N15" s="649"/>
      <c r="O15" s="41"/>
      <c r="P15" s="42"/>
    </row>
    <row r="16" spans="1:16" s="27" customFormat="1" ht="31.5">
      <c r="A16" s="37" t="s">
        <v>282</v>
      </c>
      <c r="B16" s="38" t="s">
        <v>283</v>
      </c>
      <c r="C16" s="39"/>
      <c r="D16" s="33"/>
      <c r="E16" s="33">
        <v>2013</v>
      </c>
      <c r="F16" s="33">
        <v>2013</v>
      </c>
      <c r="G16" s="40">
        <v>2.59</v>
      </c>
      <c r="H16" s="39"/>
      <c r="I16" s="39"/>
      <c r="J16" s="33"/>
      <c r="K16" s="33"/>
      <c r="L16" s="40">
        <v>2.59</v>
      </c>
      <c r="M16" s="40">
        <f aca="true" t="shared" si="0" ref="M16:M21">SUM(L16:L16)</f>
        <v>2.59</v>
      </c>
      <c r="N16" s="648"/>
      <c r="O16" s="41"/>
      <c r="P16" s="42"/>
    </row>
    <row r="17" spans="1:16" s="27" customFormat="1" ht="31.5">
      <c r="A17" s="37" t="s">
        <v>284</v>
      </c>
      <c r="B17" s="35" t="s">
        <v>285</v>
      </c>
      <c r="C17" s="39"/>
      <c r="D17" s="36">
        <v>6.4</v>
      </c>
      <c r="E17" s="33">
        <v>2013</v>
      </c>
      <c r="F17" s="33">
        <v>2013</v>
      </c>
      <c r="G17" s="40">
        <v>4.36554</v>
      </c>
      <c r="H17" s="39"/>
      <c r="I17" s="39"/>
      <c r="J17" s="36">
        <v>6.4</v>
      </c>
      <c r="K17" s="36">
        <v>6.4</v>
      </c>
      <c r="L17" s="40">
        <v>4.36554</v>
      </c>
      <c r="M17" s="40">
        <f t="shared" si="0"/>
        <v>4.36554</v>
      </c>
      <c r="O17" s="41"/>
      <c r="P17" s="42"/>
    </row>
    <row r="18" spans="1:16" s="27" customFormat="1" ht="15.75">
      <c r="A18" s="37" t="s">
        <v>286</v>
      </c>
      <c r="B18" s="38" t="s">
        <v>287</v>
      </c>
      <c r="C18" s="39"/>
      <c r="D18" s="33"/>
      <c r="E18" s="33">
        <v>2013</v>
      </c>
      <c r="F18" s="33">
        <v>2013</v>
      </c>
      <c r="G18" s="43">
        <v>3.7289</v>
      </c>
      <c r="H18" s="39"/>
      <c r="I18" s="39"/>
      <c r="J18" s="33"/>
      <c r="K18" s="33"/>
      <c r="L18" s="43">
        <v>3.7289</v>
      </c>
      <c r="M18" s="40">
        <f t="shared" si="0"/>
        <v>3.7289</v>
      </c>
      <c r="O18" s="41"/>
      <c r="P18" s="42"/>
    </row>
    <row r="19" spans="1:16" s="27" customFormat="1" ht="15.75">
      <c r="A19" s="37" t="s">
        <v>288</v>
      </c>
      <c r="B19" s="38" t="s">
        <v>289</v>
      </c>
      <c r="C19" s="39"/>
      <c r="D19" s="40">
        <v>3.73</v>
      </c>
      <c r="E19" s="33">
        <v>2013</v>
      </c>
      <c r="F19" s="33">
        <v>2013</v>
      </c>
      <c r="G19" s="43">
        <v>4.6</v>
      </c>
      <c r="H19" s="39"/>
      <c r="I19" s="39"/>
      <c r="J19" s="40">
        <v>3.73</v>
      </c>
      <c r="K19" s="40">
        <v>3.73</v>
      </c>
      <c r="L19" s="43">
        <v>4.6</v>
      </c>
      <c r="M19" s="40">
        <f t="shared" si="0"/>
        <v>4.6</v>
      </c>
      <c r="O19" s="41"/>
      <c r="P19" s="42"/>
    </row>
    <row r="20" spans="1:16" s="27" customFormat="1" ht="31.5">
      <c r="A20" s="37" t="s">
        <v>290</v>
      </c>
      <c r="B20" s="35" t="s">
        <v>291</v>
      </c>
      <c r="C20" s="39"/>
      <c r="D20" s="40">
        <v>37.854</v>
      </c>
      <c r="E20" s="33">
        <v>2013</v>
      </c>
      <c r="F20" s="33">
        <v>2013</v>
      </c>
      <c r="G20" s="40">
        <v>26.3867</v>
      </c>
      <c r="H20" s="39"/>
      <c r="I20" s="39"/>
      <c r="J20" s="40">
        <v>37.854</v>
      </c>
      <c r="K20" s="40">
        <v>37.854</v>
      </c>
      <c r="L20" s="40">
        <v>26.3867</v>
      </c>
      <c r="M20" s="40">
        <f t="shared" si="0"/>
        <v>26.3867</v>
      </c>
      <c r="O20" s="41"/>
      <c r="P20" s="42"/>
    </row>
    <row r="21" spans="1:16" s="27" customFormat="1" ht="15.75">
      <c r="A21" s="37" t="s">
        <v>292</v>
      </c>
      <c r="B21" s="38" t="s">
        <v>293</v>
      </c>
      <c r="C21" s="39"/>
      <c r="D21" s="33"/>
      <c r="E21" s="33">
        <v>2013</v>
      </c>
      <c r="F21" s="33">
        <v>2013</v>
      </c>
      <c r="G21" s="40">
        <v>6.69961</v>
      </c>
      <c r="H21" s="39"/>
      <c r="I21" s="39"/>
      <c r="J21" s="33"/>
      <c r="K21" s="33"/>
      <c r="L21" s="40">
        <v>6.69961</v>
      </c>
      <c r="M21" s="40">
        <f t="shared" si="0"/>
        <v>6.69961</v>
      </c>
      <c r="O21" s="41"/>
      <c r="P21" s="42"/>
    </row>
    <row r="22" spans="1:15" s="27" customFormat="1" ht="31.5">
      <c r="A22" s="30" t="s">
        <v>201</v>
      </c>
      <c r="B22" s="35" t="s">
        <v>294</v>
      </c>
      <c r="C22" s="39"/>
      <c r="D22" s="33"/>
      <c r="E22" s="33"/>
      <c r="F22" s="33"/>
      <c r="G22" s="34">
        <f>SUM(G23:G24)</f>
        <v>2.7249999999999996</v>
      </c>
      <c r="H22" s="39"/>
      <c r="I22" s="39"/>
      <c r="J22" s="33"/>
      <c r="K22" s="33"/>
      <c r="L22" s="34">
        <f>SUM(L23:L24)</f>
        <v>2.7249999999999996</v>
      </c>
      <c r="M22" s="34">
        <f>SUM(M23:M24)</f>
        <v>2.7249999999999996</v>
      </c>
      <c r="O22" s="41"/>
    </row>
    <row r="23" spans="1:13" ht="31.5">
      <c r="A23" s="30" t="s">
        <v>295</v>
      </c>
      <c r="B23" s="85" t="s">
        <v>296</v>
      </c>
      <c r="C23" s="39"/>
      <c r="D23" s="33" t="s">
        <v>29</v>
      </c>
      <c r="E23" s="33">
        <v>2013</v>
      </c>
      <c r="F23" s="33">
        <v>2013</v>
      </c>
      <c r="G23" s="40">
        <v>1.025</v>
      </c>
      <c r="H23" s="39"/>
      <c r="I23" s="39"/>
      <c r="J23" s="33" t="s">
        <v>29</v>
      </c>
      <c r="K23" s="33" t="s">
        <v>29</v>
      </c>
      <c r="L23" s="40">
        <v>1.025</v>
      </c>
      <c r="M23" s="40">
        <f>SUM(L23:L23)</f>
        <v>1.025</v>
      </c>
    </row>
    <row r="24" spans="1:13" ht="31.5">
      <c r="A24" s="30" t="s">
        <v>297</v>
      </c>
      <c r="B24" s="35" t="s">
        <v>298</v>
      </c>
      <c r="C24" s="39"/>
      <c r="D24" s="33" t="s">
        <v>28</v>
      </c>
      <c r="E24" s="33">
        <v>2013</v>
      </c>
      <c r="F24" s="33">
        <v>2013</v>
      </c>
      <c r="G24" s="40">
        <v>1.7</v>
      </c>
      <c r="H24" s="60"/>
      <c r="I24" s="39"/>
      <c r="J24" s="33" t="s">
        <v>28</v>
      </c>
      <c r="K24" s="33" t="s">
        <v>28</v>
      </c>
      <c r="L24" s="40">
        <v>1.7</v>
      </c>
      <c r="M24" s="40">
        <f>SUM(L24:L24)</f>
        <v>1.7</v>
      </c>
    </row>
    <row r="25" spans="1:15" ht="15.75">
      <c r="A25" s="30" t="s">
        <v>204</v>
      </c>
      <c r="B25" s="35" t="s">
        <v>299</v>
      </c>
      <c r="C25" s="39"/>
      <c r="D25" s="33"/>
      <c r="E25" s="33"/>
      <c r="F25" s="33"/>
      <c r="G25" s="34">
        <f>SUM(G26:G28)</f>
        <v>7.57</v>
      </c>
      <c r="H25" s="39"/>
      <c r="I25" s="39"/>
      <c r="J25" s="33"/>
      <c r="K25" s="33"/>
      <c r="L25" s="34">
        <f>SUM(L26:L28)</f>
        <v>7.57</v>
      </c>
      <c r="M25" s="34">
        <f>SUM(M26:M28)</f>
        <v>7.57</v>
      </c>
      <c r="O25" s="41"/>
    </row>
    <row r="26" spans="1:13" ht="47.25">
      <c r="A26" s="30" t="s">
        <v>300</v>
      </c>
      <c r="B26" s="85" t="s">
        <v>301</v>
      </c>
      <c r="C26" s="39"/>
      <c r="D26" s="33" t="s">
        <v>302</v>
      </c>
      <c r="E26" s="33">
        <v>2013</v>
      </c>
      <c r="F26" s="33">
        <v>2013</v>
      </c>
      <c r="G26" s="40">
        <v>2.044</v>
      </c>
      <c r="H26" s="39"/>
      <c r="I26" s="39"/>
      <c r="J26" s="33" t="s">
        <v>302</v>
      </c>
      <c r="K26" s="33" t="s">
        <v>302</v>
      </c>
      <c r="L26" s="40">
        <v>2.044</v>
      </c>
      <c r="M26" s="40">
        <f>SUM(L26:L26)</f>
        <v>2.044</v>
      </c>
    </row>
    <row r="27" spans="1:13" ht="31.5">
      <c r="A27" s="30" t="s">
        <v>303</v>
      </c>
      <c r="B27" s="85" t="s">
        <v>304</v>
      </c>
      <c r="C27" s="39"/>
      <c r="D27" s="33" t="s">
        <v>27</v>
      </c>
      <c r="E27" s="33">
        <v>2013</v>
      </c>
      <c r="F27" s="33">
        <v>2013</v>
      </c>
      <c r="G27" s="40">
        <v>1.826</v>
      </c>
      <c r="H27" s="39"/>
      <c r="I27" s="39"/>
      <c r="J27" s="33" t="s">
        <v>26</v>
      </c>
      <c r="K27" s="33" t="s">
        <v>26</v>
      </c>
      <c r="L27" s="40">
        <v>1.826</v>
      </c>
      <c r="M27" s="40">
        <f>SUM(L27:L27)</f>
        <v>1.826</v>
      </c>
    </row>
    <row r="28" spans="1:13" ht="31.5">
      <c r="A28" s="30" t="s">
        <v>305</v>
      </c>
      <c r="B28" s="85" t="s">
        <v>306</v>
      </c>
      <c r="C28" s="39"/>
      <c r="D28" s="33"/>
      <c r="E28" s="33">
        <v>2013</v>
      </c>
      <c r="F28" s="33">
        <v>2013</v>
      </c>
      <c r="G28" s="36">
        <v>3.7</v>
      </c>
      <c r="H28" s="39"/>
      <c r="I28" s="39"/>
      <c r="J28" s="33"/>
      <c r="K28" s="33"/>
      <c r="L28" s="36">
        <v>3.7</v>
      </c>
      <c r="M28" s="40">
        <f>SUM(L28:L28)</f>
        <v>3.7</v>
      </c>
    </row>
    <row r="29" spans="1:13" ht="33.75" customHeight="1">
      <c r="A29" s="30" t="s">
        <v>206</v>
      </c>
      <c r="B29" s="35" t="s">
        <v>307</v>
      </c>
      <c r="C29" s="39"/>
      <c r="D29" s="33"/>
      <c r="E29" s="33"/>
      <c r="F29" s="33"/>
      <c r="G29" s="36"/>
      <c r="H29" s="39"/>
      <c r="I29" s="39"/>
      <c r="J29" s="33"/>
      <c r="K29" s="33"/>
      <c r="L29" s="36"/>
      <c r="M29" s="36"/>
    </row>
    <row r="30" spans="1:15" ht="15.75">
      <c r="A30" s="30" t="s">
        <v>308</v>
      </c>
      <c r="B30" s="35" t="s">
        <v>309</v>
      </c>
      <c r="C30" s="30"/>
      <c r="D30" s="34"/>
      <c r="E30" s="30"/>
      <c r="F30" s="30"/>
      <c r="G30" s="34">
        <f>G32</f>
        <v>10.5556</v>
      </c>
      <c r="H30" s="34"/>
      <c r="I30" s="34"/>
      <c r="J30" s="34"/>
      <c r="K30" s="34"/>
      <c r="L30" s="34">
        <f>L32</f>
        <v>10.5556</v>
      </c>
      <c r="M30" s="34">
        <f>M32</f>
        <v>10.5556</v>
      </c>
      <c r="O30" s="41"/>
    </row>
    <row r="31" spans="1:13" ht="31.5">
      <c r="A31" s="37" t="s">
        <v>209</v>
      </c>
      <c r="B31" s="35" t="s">
        <v>281</v>
      </c>
      <c r="C31" s="30"/>
      <c r="D31" s="33"/>
      <c r="E31" s="30"/>
      <c r="F31" s="30"/>
      <c r="G31" s="36"/>
      <c r="H31" s="30"/>
      <c r="I31" s="30"/>
      <c r="J31" s="33"/>
      <c r="K31" s="33"/>
      <c r="L31" s="36"/>
      <c r="M31" s="36"/>
    </row>
    <row r="32" spans="1:15" ht="48.75" customHeight="1">
      <c r="A32" s="45" t="s">
        <v>310</v>
      </c>
      <c r="B32" s="38" t="s">
        <v>44</v>
      </c>
      <c r="C32" s="39"/>
      <c r="D32" s="40"/>
      <c r="E32" s="33"/>
      <c r="F32" s="33"/>
      <c r="G32" s="40">
        <f>G33+G34+G35</f>
        <v>10.5556</v>
      </c>
      <c r="H32" s="39"/>
      <c r="I32" s="39"/>
      <c r="J32" s="40"/>
      <c r="K32" s="40"/>
      <c r="L32" s="40">
        <f>L33+L34+L35</f>
        <v>10.5556</v>
      </c>
      <c r="M32" s="40">
        <f>SUM(L32:L32)</f>
        <v>10.5556</v>
      </c>
      <c r="O32" s="647"/>
    </row>
    <row r="33" spans="1:13" ht="15.75">
      <c r="A33" s="37"/>
      <c r="B33" s="38" t="s">
        <v>40</v>
      </c>
      <c r="C33" s="39"/>
      <c r="D33" s="33">
        <v>3.26</v>
      </c>
      <c r="E33" s="33">
        <v>2013</v>
      </c>
      <c r="F33" s="33">
        <v>2013</v>
      </c>
      <c r="G33" s="40">
        <v>7.5914</v>
      </c>
      <c r="H33" s="39"/>
      <c r="I33" s="39"/>
      <c r="J33" s="33">
        <v>3.26</v>
      </c>
      <c r="K33" s="33">
        <v>3.26</v>
      </c>
      <c r="L33" s="40">
        <v>7.5914</v>
      </c>
      <c r="M33" s="40">
        <f>SUM(L33:L33)</f>
        <v>7.5914</v>
      </c>
    </row>
    <row r="34" spans="1:15" ht="15.75">
      <c r="A34" s="37"/>
      <c r="B34" s="38" t="s">
        <v>49</v>
      </c>
      <c r="C34" s="39"/>
      <c r="D34" s="33">
        <v>2.802</v>
      </c>
      <c r="E34" s="33">
        <v>2013</v>
      </c>
      <c r="F34" s="33">
        <v>2013</v>
      </c>
      <c r="G34" s="40">
        <v>2.8812</v>
      </c>
      <c r="H34" s="39"/>
      <c r="I34" s="39"/>
      <c r="J34" s="33">
        <v>2.802</v>
      </c>
      <c r="K34" s="33">
        <v>2.802</v>
      </c>
      <c r="L34" s="40">
        <v>2.8812</v>
      </c>
      <c r="M34" s="40">
        <f>SUM(L34:L34)</f>
        <v>2.8812</v>
      </c>
      <c r="O34" s="647"/>
    </row>
    <row r="35" spans="1:15" ht="15.75">
      <c r="A35" s="37"/>
      <c r="B35" s="35" t="s">
        <v>41</v>
      </c>
      <c r="C35" s="39"/>
      <c r="D35" s="33"/>
      <c r="E35" s="33">
        <v>2013</v>
      </c>
      <c r="F35" s="33">
        <v>2013</v>
      </c>
      <c r="G35" s="40">
        <v>0.083</v>
      </c>
      <c r="H35" s="39"/>
      <c r="I35" s="39"/>
      <c r="J35" s="33"/>
      <c r="K35" s="33"/>
      <c r="L35" s="40">
        <v>0.083</v>
      </c>
      <c r="M35" s="40">
        <f>SUM(L35:L35)</f>
        <v>0.083</v>
      </c>
      <c r="O35" s="647"/>
    </row>
    <row r="36" spans="1:13" ht="15" customHeight="1">
      <c r="A36" s="677" t="s">
        <v>313</v>
      </c>
      <c r="B36" s="677"/>
      <c r="C36" s="39"/>
      <c r="D36" s="39"/>
      <c r="E36" s="39"/>
      <c r="F36" s="39"/>
      <c r="G36" s="39"/>
      <c r="H36" s="39"/>
      <c r="I36" s="39"/>
      <c r="J36" s="33"/>
      <c r="K36" s="33"/>
      <c r="L36" s="33"/>
      <c r="M36" s="33"/>
    </row>
    <row r="37" spans="1:13" ht="15.75">
      <c r="A37" s="30"/>
      <c r="B37" s="35" t="s">
        <v>314</v>
      </c>
      <c r="C37" s="39"/>
      <c r="D37" s="39"/>
      <c r="E37" s="39"/>
      <c r="F37" s="39"/>
      <c r="G37" s="39"/>
      <c r="H37" s="39"/>
      <c r="I37" s="39"/>
      <c r="J37" s="33"/>
      <c r="K37" s="33"/>
      <c r="L37" s="33"/>
      <c r="M37" s="33"/>
    </row>
    <row r="38" spans="1:13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.75">
      <c r="A39" s="9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98"/>
      <c r="M39" s="98"/>
    </row>
    <row r="40" spans="1:8" ht="16.5" customHeight="1">
      <c r="A40" s="50"/>
      <c r="B40" s="51" t="s">
        <v>315</v>
      </c>
      <c r="C40" s="51"/>
      <c r="D40" s="51"/>
      <c r="E40" s="51"/>
      <c r="F40" s="51"/>
      <c r="G40" s="51"/>
      <c r="H40" s="51"/>
    </row>
    <row r="41" spans="1:8" ht="15.75">
      <c r="A41" s="102"/>
      <c r="B41" s="51" t="s">
        <v>316</v>
      </c>
      <c r="C41" s="51"/>
      <c r="D41" s="51"/>
      <c r="E41" s="51"/>
      <c r="F41" s="51"/>
      <c r="G41" s="51"/>
      <c r="H41" s="51"/>
    </row>
    <row r="42" spans="1:8" ht="15.75">
      <c r="A42" s="102"/>
      <c r="B42" s="53" t="s">
        <v>317</v>
      </c>
      <c r="C42" s="51"/>
      <c r="D42" s="51"/>
      <c r="E42" s="51"/>
      <c r="F42" s="51"/>
      <c r="G42" s="51"/>
      <c r="H42" s="51"/>
    </row>
    <row r="43" spans="2:13" ht="15.75" customHeight="1">
      <c r="B43" s="675" t="s">
        <v>318</v>
      </c>
      <c r="C43" s="675"/>
      <c r="D43" s="675"/>
      <c r="E43" s="675"/>
      <c r="F43" s="675"/>
      <c r="G43" s="675"/>
      <c r="H43" s="675"/>
      <c r="L43" s="645"/>
      <c r="M43" s="644"/>
    </row>
    <row r="44" spans="2:13" ht="15" customHeight="1">
      <c r="B44" s="676" t="s">
        <v>319</v>
      </c>
      <c r="C44" s="676"/>
      <c r="D44" s="676"/>
      <c r="E44" s="676"/>
      <c r="F44" s="646"/>
      <c r="G44" s="646"/>
      <c r="H44" s="646"/>
      <c r="L44" s="645"/>
      <c r="M44" s="644"/>
    </row>
    <row r="45" spans="1:8" ht="15.75" customHeight="1">
      <c r="A45" s="102"/>
      <c r="B45" s="100"/>
      <c r="C45" s="100"/>
      <c r="D45" s="100"/>
      <c r="E45" s="100"/>
      <c r="F45" s="100"/>
      <c r="G45" s="100"/>
      <c r="H45" s="100"/>
    </row>
  </sheetData>
  <sheetProtection selectLockedCells="1" selectUnlockedCells="1"/>
  <mergeCells count="15">
    <mergeCell ref="I10:I11"/>
    <mergeCell ref="A36:B36"/>
    <mergeCell ref="G10:G11"/>
    <mergeCell ref="B43:H43"/>
    <mergeCell ref="H10:H11"/>
    <mergeCell ref="B44:E44"/>
    <mergeCell ref="J10:K10"/>
    <mergeCell ref="A1:M1"/>
    <mergeCell ref="A10:A12"/>
    <mergeCell ref="B10:B12"/>
    <mergeCell ref="C10:C11"/>
    <mergeCell ref="D10:D11"/>
    <mergeCell ref="E10:E12"/>
    <mergeCell ref="F10:F12"/>
    <mergeCell ref="L10:M10"/>
  </mergeCells>
  <printOptions/>
  <pageMargins left="0.91" right="0.2902777777777778" top="0.39375" bottom="0.39375" header="0.5118055555555555" footer="0.5118055555555555"/>
  <pageSetup fitToHeight="1" fitToWidth="1" horizontalDpi="300" verticalDpi="300" orientation="landscape" paperSize="9" scale="48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84"/>
  <sheetViews>
    <sheetView zoomScale="70" zoomScaleNormal="70" zoomScaleSheetLayoutView="80" zoomScalePageLayoutView="0" workbookViewId="0" topLeftCell="A1">
      <pane ySplit="2205" topLeftCell="BM73" activePane="bottomLeft" state="split"/>
      <selection pane="topLeft" activeCell="B4" sqref="B1:B16384"/>
      <selection pane="bottomLeft" activeCell="B87" sqref="B87"/>
    </sheetView>
  </sheetViews>
  <sheetFormatPr defaultColWidth="8.796875" defaultRowHeight="15"/>
  <cols>
    <col min="1" max="1" width="7.3984375" style="27" customWidth="1"/>
    <col min="2" max="2" width="78.09765625" style="27" customWidth="1"/>
    <col min="3" max="15" width="8.8984375" style="27" customWidth="1"/>
    <col min="16" max="16" width="8.3984375" style="27" customWidth="1"/>
    <col min="17" max="17" width="16.5" style="27" customWidth="1"/>
    <col min="18" max="18" width="6.3984375" style="27" customWidth="1"/>
    <col min="19" max="19" width="9.19921875" style="27" customWidth="1"/>
    <col min="20" max="20" width="9.69921875" style="27" customWidth="1"/>
    <col min="21" max="21" width="6.69921875" style="27" customWidth="1"/>
    <col min="22" max="25" width="8.69921875" style="27" customWidth="1"/>
    <col min="26" max="27" width="8.8984375" style="27" customWidth="1"/>
    <col min="28" max="28" width="9.8984375" style="27" customWidth="1"/>
    <col min="29" max="32" width="8.8984375" style="27" customWidth="1"/>
    <col min="33" max="34" width="8.69921875" style="27" customWidth="1"/>
    <col min="35" max="35" width="13" style="27" customWidth="1"/>
    <col min="36" max="16384" width="9" style="27" customWidth="1"/>
  </cols>
  <sheetData>
    <row r="1" spans="1:35" ht="30.75" customHeight="1">
      <c r="A1" s="681" t="s">
        <v>320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681"/>
      <c r="Z1" s="681"/>
      <c r="AA1" s="681"/>
      <c r="AB1" s="681"/>
      <c r="AC1" s="681"/>
      <c r="AD1" s="681"/>
      <c r="AE1" s="681"/>
      <c r="AF1" s="681"/>
      <c r="AG1" s="681"/>
      <c r="AH1" s="681"/>
      <c r="AI1" s="681"/>
    </row>
    <row r="2" spans="1:35" ht="27.75" customHeight="1">
      <c r="A2" s="682" t="s">
        <v>262</v>
      </c>
      <c r="B2" s="682" t="s">
        <v>321</v>
      </c>
      <c r="C2" s="683" t="s">
        <v>322</v>
      </c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2" t="s">
        <v>323</v>
      </c>
      <c r="R2" s="682"/>
      <c r="S2" s="682"/>
      <c r="T2" s="682"/>
      <c r="U2" s="682"/>
      <c r="V2" s="683" t="s">
        <v>324</v>
      </c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/>
      <c r="AH2" s="683"/>
      <c r="AI2" s="683"/>
    </row>
    <row r="3" spans="1:35" ht="21" customHeight="1">
      <c r="A3" s="682"/>
      <c r="B3" s="682"/>
      <c r="C3" s="682" t="s">
        <v>325</v>
      </c>
      <c r="D3" s="682"/>
      <c r="E3" s="682"/>
      <c r="F3" s="682"/>
      <c r="G3" s="683" t="s">
        <v>326</v>
      </c>
      <c r="H3" s="683"/>
      <c r="I3" s="683"/>
      <c r="J3" s="683"/>
      <c r="K3" s="683" t="s">
        <v>327</v>
      </c>
      <c r="L3" s="683"/>
      <c r="M3" s="683"/>
      <c r="N3" s="683"/>
      <c r="O3" s="683"/>
      <c r="P3" s="680" t="s">
        <v>328</v>
      </c>
      <c r="Q3" s="682"/>
      <c r="R3" s="682"/>
      <c r="S3" s="682"/>
      <c r="T3" s="682"/>
      <c r="U3" s="682"/>
      <c r="V3" s="682" t="s">
        <v>325</v>
      </c>
      <c r="W3" s="682"/>
      <c r="X3" s="682"/>
      <c r="Y3" s="682"/>
      <c r="Z3" s="683" t="s">
        <v>326</v>
      </c>
      <c r="AA3" s="683"/>
      <c r="AB3" s="683"/>
      <c r="AC3" s="683"/>
      <c r="AD3" s="683" t="s">
        <v>327</v>
      </c>
      <c r="AE3" s="683"/>
      <c r="AF3" s="683"/>
      <c r="AG3" s="683"/>
      <c r="AH3" s="683"/>
      <c r="AI3" s="660" t="s">
        <v>329</v>
      </c>
    </row>
    <row r="4" spans="1:35" ht="62.25" customHeight="1">
      <c r="A4" s="30"/>
      <c r="B4" s="30" t="s">
        <v>279</v>
      </c>
      <c r="C4" s="57" t="s">
        <v>330</v>
      </c>
      <c r="D4" s="58" t="s">
        <v>331</v>
      </c>
      <c r="E4" s="33" t="s">
        <v>332</v>
      </c>
      <c r="F4" s="33" t="s">
        <v>333</v>
      </c>
      <c r="G4" s="57" t="s">
        <v>330</v>
      </c>
      <c r="H4" s="58" t="s">
        <v>331</v>
      </c>
      <c r="I4" s="58" t="s">
        <v>334</v>
      </c>
      <c r="J4" s="58" t="s">
        <v>335</v>
      </c>
      <c r="K4" s="57" t="s">
        <v>336</v>
      </c>
      <c r="L4" s="58" t="s">
        <v>331</v>
      </c>
      <c r="M4" s="59" t="s">
        <v>337</v>
      </c>
      <c r="N4" s="59" t="s">
        <v>338</v>
      </c>
      <c r="O4" s="58" t="s">
        <v>339</v>
      </c>
      <c r="P4" s="680"/>
      <c r="Q4" s="57" t="s">
        <v>340</v>
      </c>
      <c r="R4" s="57" t="s">
        <v>341</v>
      </c>
      <c r="S4" s="57" t="s">
        <v>342</v>
      </c>
      <c r="T4" s="57" t="s">
        <v>343</v>
      </c>
      <c r="U4" s="57" t="s">
        <v>344</v>
      </c>
      <c r="V4" s="57" t="s">
        <v>330</v>
      </c>
      <c r="W4" s="58" t="s">
        <v>345</v>
      </c>
      <c r="X4" s="33" t="s">
        <v>332</v>
      </c>
      <c r="Y4" s="33" t="s">
        <v>346</v>
      </c>
      <c r="Z4" s="57" t="s">
        <v>330</v>
      </c>
      <c r="AA4" s="58" t="s">
        <v>331</v>
      </c>
      <c r="AB4" s="58" t="s">
        <v>334</v>
      </c>
      <c r="AC4" s="58" t="s">
        <v>335</v>
      </c>
      <c r="AD4" s="57" t="s">
        <v>336</v>
      </c>
      <c r="AE4" s="58" t="s">
        <v>331</v>
      </c>
      <c r="AF4" s="59" t="s">
        <v>337</v>
      </c>
      <c r="AG4" s="57" t="s">
        <v>338</v>
      </c>
      <c r="AH4" s="58" t="s">
        <v>339</v>
      </c>
      <c r="AI4" s="660"/>
    </row>
    <row r="5" spans="1:35" ht="15.75">
      <c r="A5" s="30">
        <v>1</v>
      </c>
      <c r="B5" s="30" t="s">
        <v>280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 t="s">
        <v>347</v>
      </c>
      <c r="T5" s="30"/>
      <c r="U5" s="30"/>
      <c r="V5" s="30"/>
      <c r="W5" s="30"/>
      <c r="X5" s="30"/>
      <c r="Y5" s="30"/>
      <c r="Z5" s="60"/>
      <c r="AA5" s="60"/>
      <c r="AB5" s="60"/>
      <c r="AC5" s="60"/>
      <c r="AD5" s="60"/>
      <c r="AE5" s="60"/>
      <c r="AF5" s="60"/>
      <c r="AG5" s="60"/>
      <c r="AH5" s="60"/>
      <c r="AI5" s="60"/>
    </row>
    <row r="6" spans="1:35" ht="15.75">
      <c r="A6" s="61" t="s">
        <v>199</v>
      </c>
      <c r="B6" s="30" t="s">
        <v>281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60"/>
      <c r="AA6" s="60"/>
      <c r="AB6" s="60"/>
      <c r="AC6" s="60"/>
      <c r="AD6" s="60"/>
      <c r="AE6" s="60"/>
      <c r="AF6" s="60"/>
      <c r="AG6" s="60"/>
      <c r="AH6" s="60"/>
      <c r="AI6" s="60"/>
    </row>
    <row r="7" spans="1:35" ht="37.5">
      <c r="A7" s="37" t="s">
        <v>282</v>
      </c>
      <c r="B7" s="615" t="s">
        <v>283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60"/>
      <c r="AA7" s="60"/>
      <c r="AB7" s="60"/>
      <c r="AC7" s="60"/>
      <c r="AD7" s="60"/>
      <c r="AE7" s="60"/>
      <c r="AF7" s="60"/>
      <c r="AG7" s="60"/>
      <c r="AH7" s="60"/>
      <c r="AI7" s="60"/>
    </row>
    <row r="8" spans="1:35" ht="15.75">
      <c r="A8" s="616"/>
      <c r="B8" s="62" t="s">
        <v>348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60"/>
      <c r="AA8" s="60"/>
      <c r="AB8" s="60"/>
      <c r="AC8" s="60"/>
      <c r="AD8" s="60"/>
      <c r="AE8" s="60"/>
      <c r="AF8" s="60"/>
      <c r="AG8" s="60"/>
      <c r="AH8" s="60"/>
      <c r="AI8" s="60"/>
    </row>
    <row r="9" spans="1:35" ht="15.75">
      <c r="A9" s="33"/>
      <c r="B9" s="39" t="s">
        <v>349</v>
      </c>
      <c r="C9" s="39"/>
      <c r="D9" s="39"/>
      <c r="E9" s="39"/>
      <c r="F9" s="39"/>
      <c r="G9" s="33">
        <v>1954</v>
      </c>
      <c r="H9" s="33">
        <v>20</v>
      </c>
      <c r="I9" s="39"/>
      <c r="J9" s="39"/>
      <c r="K9" s="39"/>
      <c r="L9" s="39"/>
      <c r="M9" s="39"/>
      <c r="N9" s="39"/>
      <c r="O9" s="39"/>
      <c r="P9" s="39" t="s">
        <v>350</v>
      </c>
      <c r="Q9" s="63">
        <f>S9+T9</f>
        <v>0.203</v>
      </c>
      <c r="R9" s="63"/>
      <c r="S9" s="63">
        <v>0.073</v>
      </c>
      <c r="T9" s="63">
        <v>0.13</v>
      </c>
      <c r="U9" s="39"/>
      <c r="V9" s="63"/>
      <c r="W9" s="63"/>
      <c r="X9" s="63"/>
      <c r="Y9" s="63"/>
      <c r="Z9" s="64">
        <v>2013</v>
      </c>
      <c r="AA9" s="64">
        <v>20</v>
      </c>
      <c r="AB9" s="60"/>
      <c r="AC9" s="60"/>
      <c r="AD9" s="60"/>
      <c r="AE9" s="60"/>
      <c r="AF9" s="60"/>
      <c r="AG9" s="60"/>
      <c r="AH9" s="60"/>
      <c r="AI9" s="60" t="s">
        <v>351</v>
      </c>
    </row>
    <row r="10" spans="1:35" ht="15.75">
      <c r="A10" s="33"/>
      <c r="B10" s="39" t="s">
        <v>17</v>
      </c>
      <c r="C10" s="39"/>
      <c r="D10" s="39"/>
      <c r="E10" s="39"/>
      <c r="F10" s="39"/>
      <c r="G10" s="33">
        <v>1978</v>
      </c>
      <c r="H10" s="33">
        <v>20</v>
      </c>
      <c r="I10" s="39"/>
      <c r="J10" s="39"/>
      <c r="K10" s="39"/>
      <c r="L10" s="39"/>
      <c r="M10" s="39"/>
      <c r="N10" s="39"/>
      <c r="O10" s="39"/>
      <c r="P10" s="39" t="s">
        <v>583</v>
      </c>
      <c r="Q10" s="63">
        <f>S10+T10</f>
        <v>0.609</v>
      </c>
      <c r="R10" s="63"/>
      <c r="S10" s="63">
        <v>0.219</v>
      </c>
      <c r="T10" s="63">
        <v>0.39</v>
      </c>
      <c r="U10" s="39"/>
      <c r="V10" s="63"/>
      <c r="W10" s="63"/>
      <c r="X10" s="63"/>
      <c r="Y10" s="63"/>
      <c r="Z10" s="64">
        <v>2013</v>
      </c>
      <c r="AA10" s="64">
        <v>20</v>
      </c>
      <c r="AB10" s="60"/>
      <c r="AC10" s="60"/>
      <c r="AD10" s="60"/>
      <c r="AE10" s="60"/>
      <c r="AF10" s="60"/>
      <c r="AG10" s="60"/>
      <c r="AH10" s="60"/>
      <c r="AI10" s="60" t="s">
        <v>351</v>
      </c>
    </row>
    <row r="11" spans="1:35" ht="15.75">
      <c r="A11" s="33"/>
      <c r="B11" s="39" t="s">
        <v>353</v>
      </c>
      <c r="C11" s="39"/>
      <c r="D11" s="39"/>
      <c r="E11" s="39"/>
      <c r="F11" s="39"/>
      <c r="G11" s="33">
        <v>1975</v>
      </c>
      <c r="H11" s="33">
        <v>20</v>
      </c>
      <c r="I11" s="39"/>
      <c r="J11" s="39"/>
      <c r="K11" s="39"/>
      <c r="L11" s="39"/>
      <c r="M11" s="39"/>
      <c r="N11" s="39"/>
      <c r="O11" s="39"/>
      <c r="P11" s="39" t="s">
        <v>352</v>
      </c>
      <c r="Q11" s="63">
        <f>S11+T11</f>
        <v>0.78</v>
      </c>
      <c r="R11" s="63"/>
      <c r="S11" s="63">
        <v>0.26</v>
      </c>
      <c r="T11" s="63">
        <v>0.52</v>
      </c>
      <c r="U11" s="39"/>
      <c r="V11" s="63"/>
      <c r="W11" s="63"/>
      <c r="X11" s="63"/>
      <c r="Y11" s="63"/>
      <c r="Z11" s="64">
        <v>2013</v>
      </c>
      <c r="AA11" s="64">
        <v>20</v>
      </c>
      <c r="AB11" s="60"/>
      <c r="AC11" s="60"/>
      <c r="AD11" s="60"/>
      <c r="AE11" s="60"/>
      <c r="AF11" s="60"/>
      <c r="AG11" s="60"/>
      <c r="AH11" s="60"/>
      <c r="AI11" s="60" t="s">
        <v>351</v>
      </c>
    </row>
    <row r="12" spans="1:35" ht="15.75">
      <c r="A12" s="33"/>
      <c r="B12" s="39" t="s">
        <v>18</v>
      </c>
      <c r="C12" s="39"/>
      <c r="D12" s="39"/>
      <c r="E12" s="39"/>
      <c r="F12" s="39"/>
      <c r="G12" s="33">
        <v>1984</v>
      </c>
      <c r="H12" s="33">
        <v>20</v>
      </c>
      <c r="I12" s="39"/>
      <c r="J12" s="39"/>
      <c r="K12" s="39"/>
      <c r="L12" s="39"/>
      <c r="M12" s="39"/>
      <c r="N12" s="39"/>
      <c r="O12" s="39"/>
      <c r="P12" s="39" t="s">
        <v>19</v>
      </c>
      <c r="Q12" s="63">
        <f>S12+T12</f>
        <v>0.398</v>
      </c>
      <c r="R12" s="63"/>
      <c r="S12" s="63">
        <v>0.138</v>
      </c>
      <c r="T12" s="63">
        <v>0.26</v>
      </c>
      <c r="U12" s="39"/>
      <c r="V12" s="63"/>
      <c r="W12" s="63"/>
      <c r="X12" s="63"/>
      <c r="Y12" s="63"/>
      <c r="Z12" s="64">
        <v>2013</v>
      </c>
      <c r="AA12" s="64">
        <v>20</v>
      </c>
      <c r="AB12" s="60"/>
      <c r="AC12" s="60"/>
      <c r="AD12" s="60"/>
      <c r="AE12" s="60"/>
      <c r="AF12" s="60"/>
      <c r="AG12" s="60"/>
      <c r="AH12" s="60"/>
      <c r="AI12" s="60" t="s">
        <v>351</v>
      </c>
    </row>
    <row r="13" spans="1:35" ht="15.75">
      <c r="A13" s="33"/>
      <c r="B13" s="30" t="s">
        <v>354</v>
      </c>
      <c r="C13" s="39"/>
      <c r="D13" s="39"/>
      <c r="E13" s="39"/>
      <c r="F13" s="39"/>
      <c r="G13" s="33"/>
      <c r="H13" s="33"/>
      <c r="I13" s="39"/>
      <c r="J13" s="39"/>
      <c r="K13" s="39"/>
      <c r="L13" s="39"/>
      <c r="M13" s="39"/>
      <c r="N13" s="39"/>
      <c r="O13" s="39"/>
      <c r="P13" s="35" t="s">
        <v>555</v>
      </c>
      <c r="Q13" s="65">
        <f>SUM(Q9:Q12)</f>
        <v>1.9900000000000002</v>
      </c>
      <c r="R13" s="63"/>
      <c r="S13" s="63"/>
      <c r="T13" s="63"/>
      <c r="U13" s="39"/>
      <c r="V13" s="65"/>
      <c r="W13" s="39"/>
      <c r="X13" s="39"/>
      <c r="Y13" s="39"/>
      <c r="Z13" s="64"/>
      <c r="AA13" s="64"/>
      <c r="AB13" s="60"/>
      <c r="AC13" s="60"/>
      <c r="AD13" s="60"/>
      <c r="AE13" s="60"/>
      <c r="AF13" s="60"/>
      <c r="AG13" s="60"/>
      <c r="AH13" s="60"/>
      <c r="AI13" s="60"/>
    </row>
    <row r="14" spans="1:35" ht="15.75">
      <c r="A14" s="33"/>
      <c r="B14" s="62" t="s">
        <v>355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66"/>
      <c r="R14" s="63"/>
      <c r="S14" s="63"/>
      <c r="T14" s="63"/>
      <c r="U14" s="39"/>
      <c r="V14" s="39"/>
      <c r="W14" s="39"/>
      <c r="X14" s="39"/>
      <c r="Y14" s="39"/>
      <c r="Z14" s="64"/>
      <c r="AA14" s="64"/>
      <c r="AB14" s="60"/>
      <c r="AC14" s="60"/>
      <c r="AD14" s="60"/>
      <c r="AE14" s="60"/>
      <c r="AF14" s="60"/>
      <c r="AG14" s="60"/>
      <c r="AH14" s="60"/>
      <c r="AI14" s="60"/>
    </row>
    <row r="15" spans="1:35" ht="15.75">
      <c r="A15" s="33"/>
      <c r="B15" s="39" t="s">
        <v>356</v>
      </c>
      <c r="C15" s="39"/>
      <c r="D15" s="39"/>
      <c r="E15" s="39"/>
      <c r="F15" s="39"/>
      <c r="G15" s="33">
        <v>1985</v>
      </c>
      <c r="H15" s="33">
        <v>20</v>
      </c>
      <c r="I15" s="39"/>
      <c r="J15" s="39"/>
      <c r="K15" s="39"/>
      <c r="L15" s="39"/>
      <c r="M15" s="39"/>
      <c r="N15" s="39"/>
      <c r="O15" s="39"/>
      <c r="P15" s="39" t="s">
        <v>350</v>
      </c>
      <c r="Q15" s="63">
        <f>S15+T15</f>
        <v>0.2</v>
      </c>
      <c r="R15" s="63"/>
      <c r="S15" s="63">
        <v>0.07</v>
      </c>
      <c r="T15" s="63">
        <v>0.13</v>
      </c>
      <c r="U15" s="39"/>
      <c r="V15" s="63"/>
      <c r="W15" s="63"/>
      <c r="X15" s="63"/>
      <c r="Y15" s="63"/>
      <c r="Z15" s="64">
        <v>2013</v>
      </c>
      <c r="AA15" s="64">
        <v>20</v>
      </c>
      <c r="AB15" s="60"/>
      <c r="AC15" s="60"/>
      <c r="AD15" s="60"/>
      <c r="AE15" s="60"/>
      <c r="AF15" s="60"/>
      <c r="AG15" s="60"/>
      <c r="AH15" s="60"/>
      <c r="AI15" s="60" t="s">
        <v>351</v>
      </c>
    </row>
    <row r="16" spans="1:35" ht="15.75">
      <c r="A16" s="33"/>
      <c r="B16" s="39" t="s">
        <v>357</v>
      </c>
      <c r="C16" s="39"/>
      <c r="D16" s="39"/>
      <c r="E16" s="39"/>
      <c r="F16" s="39"/>
      <c r="G16" s="33">
        <v>1970</v>
      </c>
      <c r="H16" s="33">
        <v>15</v>
      </c>
      <c r="I16" s="39"/>
      <c r="J16" s="39"/>
      <c r="K16" s="39"/>
      <c r="L16" s="39"/>
      <c r="M16" s="39"/>
      <c r="N16" s="39"/>
      <c r="O16" s="39"/>
      <c r="P16" s="39" t="s">
        <v>350</v>
      </c>
      <c r="Q16" s="63">
        <f>S16+T16</f>
        <v>0.2</v>
      </c>
      <c r="R16" s="63"/>
      <c r="S16" s="63">
        <v>0.07</v>
      </c>
      <c r="T16" s="63">
        <v>0.13</v>
      </c>
      <c r="U16" s="39"/>
      <c r="V16" s="63"/>
      <c r="W16" s="63"/>
      <c r="X16" s="63"/>
      <c r="Y16" s="63"/>
      <c r="Z16" s="64">
        <v>2013</v>
      </c>
      <c r="AA16" s="64">
        <v>20</v>
      </c>
      <c r="AB16" s="60"/>
      <c r="AC16" s="60"/>
      <c r="AD16" s="60"/>
      <c r="AE16" s="60"/>
      <c r="AF16" s="60"/>
      <c r="AG16" s="60"/>
      <c r="AH16" s="60"/>
      <c r="AI16" s="60" t="s">
        <v>351</v>
      </c>
    </row>
    <row r="17" spans="1:35" ht="15.75">
      <c r="A17" s="33"/>
      <c r="B17" s="62" t="s">
        <v>358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66"/>
      <c r="R17" s="63"/>
      <c r="S17" s="63"/>
      <c r="T17" s="63"/>
      <c r="U17" s="39"/>
      <c r="V17" s="39"/>
      <c r="W17" s="39"/>
      <c r="X17" s="39"/>
      <c r="Y17" s="39"/>
      <c r="Z17" s="64"/>
      <c r="AA17" s="64"/>
      <c r="AB17" s="60"/>
      <c r="AC17" s="60"/>
      <c r="AD17" s="60"/>
      <c r="AE17" s="60"/>
      <c r="AF17" s="60"/>
      <c r="AG17" s="60"/>
      <c r="AH17" s="60"/>
      <c r="AI17" s="60"/>
    </row>
    <row r="18" spans="1:35" ht="15.75">
      <c r="A18" s="33"/>
      <c r="B18" s="39" t="s">
        <v>359</v>
      </c>
      <c r="C18" s="39"/>
      <c r="D18" s="39"/>
      <c r="E18" s="39"/>
      <c r="F18" s="39"/>
      <c r="G18" s="33">
        <v>1973</v>
      </c>
      <c r="H18" s="33">
        <v>22.9</v>
      </c>
      <c r="I18" s="39"/>
      <c r="J18" s="39"/>
      <c r="K18" s="39"/>
      <c r="L18" s="39"/>
      <c r="M18" s="39"/>
      <c r="N18" s="39"/>
      <c r="O18" s="39"/>
      <c r="P18" s="39" t="s">
        <v>350</v>
      </c>
      <c r="Q18" s="63">
        <f>S18+T18</f>
        <v>0.2</v>
      </c>
      <c r="R18" s="63"/>
      <c r="S18" s="63">
        <v>0.07</v>
      </c>
      <c r="T18" s="63">
        <v>0.13</v>
      </c>
      <c r="U18" s="39"/>
      <c r="V18" s="63"/>
      <c r="W18" s="63"/>
      <c r="X18" s="63"/>
      <c r="Y18" s="63"/>
      <c r="Z18" s="64">
        <v>2013</v>
      </c>
      <c r="AA18" s="64">
        <v>20</v>
      </c>
      <c r="AB18" s="60"/>
      <c r="AC18" s="60"/>
      <c r="AD18" s="60"/>
      <c r="AE18" s="60"/>
      <c r="AF18" s="60"/>
      <c r="AG18" s="60"/>
      <c r="AH18" s="60"/>
      <c r="AI18" s="60" t="s">
        <v>351</v>
      </c>
    </row>
    <row r="19" spans="1:35" ht="15.75">
      <c r="A19" s="33"/>
      <c r="B19" s="30" t="s">
        <v>360</v>
      </c>
      <c r="C19" s="39"/>
      <c r="D19" s="39"/>
      <c r="E19" s="39"/>
      <c r="F19" s="39"/>
      <c r="G19" s="39"/>
      <c r="H19" s="33"/>
      <c r="I19" s="39"/>
      <c r="J19" s="39"/>
      <c r="K19" s="39"/>
      <c r="L19" s="39"/>
      <c r="M19" s="39"/>
      <c r="N19" s="39"/>
      <c r="O19" s="39"/>
      <c r="P19" s="35" t="s">
        <v>361</v>
      </c>
      <c r="Q19" s="65">
        <f>Q15+Q16+Q18</f>
        <v>0.6000000000000001</v>
      </c>
      <c r="R19" s="63"/>
      <c r="S19" s="63"/>
      <c r="T19" s="63"/>
      <c r="U19" s="39"/>
      <c r="V19" s="65"/>
      <c r="W19" s="39"/>
      <c r="X19" s="39"/>
      <c r="Y19" s="39"/>
      <c r="Z19" s="64"/>
      <c r="AA19" s="64"/>
      <c r="AB19" s="60"/>
      <c r="AC19" s="60"/>
      <c r="AD19" s="60"/>
      <c r="AE19" s="60"/>
      <c r="AF19" s="60"/>
      <c r="AG19" s="60"/>
      <c r="AH19" s="60"/>
      <c r="AI19" s="60"/>
    </row>
    <row r="20" spans="1:35" ht="15.75">
      <c r="A20" s="33"/>
      <c r="B20" s="30" t="s">
        <v>362</v>
      </c>
      <c r="C20" s="39"/>
      <c r="D20" s="39"/>
      <c r="E20" s="39"/>
      <c r="F20" s="39"/>
      <c r="G20" s="39"/>
      <c r="H20" s="33"/>
      <c r="I20" s="39"/>
      <c r="J20" s="39"/>
      <c r="K20" s="39"/>
      <c r="L20" s="39"/>
      <c r="M20" s="39"/>
      <c r="N20" s="39"/>
      <c r="O20" s="39"/>
      <c r="P20" s="35" t="s">
        <v>20</v>
      </c>
      <c r="Q20" s="65">
        <f>Q13+Q19</f>
        <v>2.5900000000000003</v>
      </c>
      <c r="R20" s="63"/>
      <c r="S20" s="63"/>
      <c r="T20" s="63"/>
      <c r="U20" s="39"/>
      <c r="V20" s="65"/>
      <c r="W20" s="39"/>
      <c r="X20" s="39"/>
      <c r="Y20" s="39"/>
      <c r="Z20" s="64"/>
      <c r="AA20" s="64"/>
      <c r="AB20" s="60"/>
      <c r="AC20" s="60"/>
      <c r="AD20" s="60"/>
      <c r="AE20" s="60"/>
      <c r="AF20" s="60"/>
      <c r="AG20" s="60"/>
      <c r="AH20" s="60"/>
      <c r="AI20" s="60"/>
    </row>
    <row r="21" spans="1:35" ht="37.5">
      <c r="A21" s="37" t="s">
        <v>284</v>
      </c>
      <c r="B21" s="617" t="s">
        <v>285</v>
      </c>
      <c r="C21" s="39"/>
      <c r="D21" s="39"/>
      <c r="E21" s="39"/>
      <c r="F21" s="39"/>
      <c r="G21" s="39"/>
      <c r="H21" s="39"/>
      <c r="I21" s="39" t="s">
        <v>50</v>
      </c>
      <c r="J21" s="39"/>
      <c r="K21" s="39"/>
      <c r="L21" s="39"/>
      <c r="M21" s="39"/>
      <c r="N21" s="67"/>
      <c r="O21" s="39"/>
      <c r="P21" s="39"/>
      <c r="Q21" s="65"/>
      <c r="R21" s="63"/>
      <c r="S21" s="63"/>
      <c r="T21" s="63"/>
      <c r="U21" s="39"/>
      <c r="V21" s="39"/>
      <c r="W21" s="39"/>
      <c r="X21" s="39"/>
      <c r="Y21" s="39"/>
      <c r="Z21" s="64"/>
      <c r="AA21" s="64"/>
      <c r="AB21" s="60"/>
      <c r="AC21" s="60"/>
      <c r="AD21" s="60"/>
      <c r="AE21" s="60"/>
      <c r="AF21" s="60"/>
      <c r="AG21" s="60"/>
      <c r="AH21" s="60"/>
      <c r="AI21" s="60"/>
    </row>
    <row r="22" spans="1:35" ht="15.75">
      <c r="A22" s="37"/>
      <c r="B22" s="62" t="s">
        <v>348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63"/>
      <c r="R22" s="63"/>
      <c r="S22" s="63"/>
      <c r="T22" s="63"/>
      <c r="U22" s="39"/>
      <c r="V22" s="39"/>
      <c r="W22" s="39"/>
      <c r="X22" s="39"/>
      <c r="Y22" s="39"/>
      <c r="Z22" s="64"/>
      <c r="AA22" s="64"/>
      <c r="AB22" s="60"/>
      <c r="AC22" s="60"/>
      <c r="AD22" s="60"/>
      <c r="AE22" s="60"/>
      <c r="AF22" s="60"/>
      <c r="AG22" s="60"/>
      <c r="AH22" s="60"/>
      <c r="AI22" s="60"/>
    </row>
    <row r="23" spans="1:35" ht="15.75">
      <c r="A23" s="33"/>
      <c r="B23" s="39" t="s">
        <v>363</v>
      </c>
      <c r="C23" s="39"/>
      <c r="D23" s="39"/>
      <c r="E23" s="39"/>
      <c r="F23" s="39"/>
      <c r="G23" s="39" t="s">
        <v>364</v>
      </c>
      <c r="H23" s="33">
        <v>20</v>
      </c>
      <c r="I23" s="33">
        <v>2</v>
      </c>
      <c r="J23" s="40">
        <v>0.2</v>
      </c>
      <c r="K23" s="39"/>
      <c r="L23" s="39"/>
      <c r="M23" s="39"/>
      <c r="N23" s="39"/>
      <c r="O23" s="39"/>
      <c r="P23" s="39"/>
      <c r="Q23" s="68">
        <f aca="true" t="shared" si="0" ref="Q23:Q30">S23+T23</f>
        <v>0.2147</v>
      </c>
      <c r="R23" s="63"/>
      <c r="S23" s="63">
        <v>0.023700000000000002</v>
      </c>
      <c r="T23" s="63">
        <v>0.191</v>
      </c>
      <c r="U23" s="39"/>
      <c r="V23" s="63"/>
      <c r="W23" s="63"/>
      <c r="X23" s="63"/>
      <c r="Y23" s="63"/>
      <c r="Z23" s="33">
        <v>2013</v>
      </c>
      <c r="AA23" s="33">
        <v>20</v>
      </c>
      <c r="AB23" s="33">
        <v>2</v>
      </c>
      <c r="AC23" s="40">
        <v>0.2</v>
      </c>
      <c r="AD23" s="39"/>
      <c r="AE23" s="60"/>
      <c r="AF23" s="60"/>
      <c r="AG23" s="60"/>
      <c r="AH23" s="60"/>
      <c r="AI23" s="60"/>
    </row>
    <row r="24" spans="1:35" ht="15.75">
      <c r="A24" s="33"/>
      <c r="B24" s="39" t="s">
        <v>365</v>
      </c>
      <c r="C24" s="39"/>
      <c r="D24" s="39"/>
      <c r="E24" s="39"/>
      <c r="F24" s="39"/>
      <c r="G24" s="39" t="s">
        <v>364</v>
      </c>
      <c r="H24" s="33">
        <v>20</v>
      </c>
      <c r="I24" s="33">
        <v>1</v>
      </c>
      <c r="J24" s="40">
        <v>0.2</v>
      </c>
      <c r="K24" s="39"/>
      <c r="L24" s="39"/>
      <c r="M24" s="39"/>
      <c r="N24" s="39"/>
      <c r="O24" s="39"/>
      <c r="P24" s="39"/>
      <c r="Q24" s="68">
        <f t="shared" si="0"/>
        <v>0.15186000000000002</v>
      </c>
      <c r="R24" s="63"/>
      <c r="S24" s="63">
        <v>0.01186</v>
      </c>
      <c r="T24" s="63">
        <v>0.14</v>
      </c>
      <c r="U24" s="39"/>
      <c r="V24" s="63"/>
      <c r="W24" s="63"/>
      <c r="X24" s="63"/>
      <c r="Y24" s="63"/>
      <c r="Z24" s="33">
        <v>2013</v>
      </c>
      <c r="AA24" s="33">
        <v>20</v>
      </c>
      <c r="AB24" s="33">
        <v>1</v>
      </c>
      <c r="AC24" s="40">
        <v>0.25</v>
      </c>
      <c r="AD24" s="39"/>
      <c r="AE24" s="60"/>
      <c r="AF24" s="60"/>
      <c r="AG24" s="60"/>
      <c r="AH24" s="60"/>
      <c r="AI24" s="60"/>
    </row>
    <row r="25" spans="1:35" ht="15.75">
      <c r="A25" s="33"/>
      <c r="B25" s="39" t="s">
        <v>366</v>
      </c>
      <c r="C25" s="39"/>
      <c r="D25" s="39"/>
      <c r="E25" s="39"/>
      <c r="F25" s="39"/>
      <c r="G25" s="39" t="s">
        <v>367</v>
      </c>
      <c r="H25" s="33">
        <v>20</v>
      </c>
      <c r="I25" s="33">
        <v>1</v>
      </c>
      <c r="J25" s="40">
        <v>0.25</v>
      </c>
      <c r="K25" s="39"/>
      <c r="L25" s="39"/>
      <c r="M25" s="39"/>
      <c r="N25" s="39"/>
      <c r="O25" s="39"/>
      <c r="P25" s="39"/>
      <c r="Q25" s="68">
        <f t="shared" si="0"/>
        <v>0.15200000000000002</v>
      </c>
      <c r="R25" s="63"/>
      <c r="S25" s="63">
        <v>0.012</v>
      </c>
      <c r="T25" s="63">
        <v>0.14</v>
      </c>
      <c r="U25" s="39"/>
      <c r="V25" s="63"/>
      <c r="W25" s="63"/>
      <c r="X25" s="63"/>
      <c r="Y25" s="63"/>
      <c r="Z25" s="33">
        <v>2013</v>
      </c>
      <c r="AA25" s="33">
        <v>20</v>
      </c>
      <c r="AB25" s="33">
        <v>1</v>
      </c>
      <c r="AC25" s="40">
        <v>0.25</v>
      </c>
      <c r="AD25" s="39"/>
      <c r="AE25" s="60"/>
      <c r="AF25" s="60"/>
      <c r="AG25" s="60"/>
      <c r="AH25" s="60"/>
      <c r="AI25" s="60"/>
    </row>
    <row r="26" spans="1:35" ht="15.75">
      <c r="A26" s="33"/>
      <c r="B26" s="39" t="s">
        <v>368</v>
      </c>
      <c r="C26" s="39"/>
      <c r="D26" s="39"/>
      <c r="E26" s="39"/>
      <c r="F26" s="39"/>
      <c r="G26" s="39" t="s">
        <v>369</v>
      </c>
      <c r="H26" s="33">
        <v>20</v>
      </c>
      <c r="I26" s="33">
        <v>2</v>
      </c>
      <c r="J26" s="40">
        <v>0.64</v>
      </c>
      <c r="K26" s="39"/>
      <c r="L26" s="39"/>
      <c r="M26" s="39"/>
      <c r="N26" s="39"/>
      <c r="O26" s="39"/>
      <c r="P26" s="39"/>
      <c r="Q26" s="68">
        <f t="shared" si="0"/>
        <v>0.384</v>
      </c>
      <c r="R26" s="63"/>
      <c r="S26" s="63">
        <v>0.024</v>
      </c>
      <c r="T26" s="63">
        <v>0.36</v>
      </c>
      <c r="U26" s="39"/>
      <c r="V26" s="63"/>
      <c r="W26" s="63"/>
      <c r="X26" s="63"/>
      <c r="Y26" s="63"/>
      <c r="Z26" s="33">
        <v>2013</v>
      </c>
      <c r="AA26" s="33">
        <v>20</v>
      </c>
      <c r="AB26" s="33">
        <v>2</v>
      </c>
      <c r="AC26" s="40">
        <v>0.8</v>
      </c>
      <c r="AD26" s="39"/>
      <c r="AE26" s="60"/>
      <c r="AF26" s="60"/>
      <c r="AG26" s="60"/>
      <c r="AH26" s="60"/>
      <c r="AI26" s="60"/>
    </row>
    <row r="27" spans="1:35" ht="15.75">
      <c r="A27" s="33"/>
      <c r="B27" s="39" t="s">
        <v>370</v>
      </c>
      <c r="C27" s="39"/>
      <c r="D27" s="39"/>
      <c r="E27" s="39"/>
      <c r="F27" s="39"/>
      <c r="G27" s="39" t="s">
        <v>371</v>
      </c>
      <c r="H27" s="33">
        <v>20</v>
      </c>
      <c r="I27" s="33">
        <v>1</v>
      </c>
      <c r="J27" s="40">
        <v>0.4</v>
      </c>
      <c r="K27" s="39"/>
      <c r="L27" s="39"/>
      <c r="M27" s="39"/>
      <c r="N27" s="39"/>
      <c r="O27" s="39"/>
      <c r="P27" s="39"/>
      <c r="Q27" s="68">
        <f t="shared" si="0"/>
        <v>0.19186</v>
      </c>
      <c r="R27" s="63"/>
      <c r="S27" s="63">
        <v>0.01186</v>
      </c>
      <c r="T27" s="63">
        <v>0.18</v>
      </c>
      <c r="U27" s="39"/>
      <c r="V27" s="63"/>
      <c r="W27" s="63"/>
      <c r="X27" s="63"/>
      <c r="Y27" s="63"/>
      <c r="Z27" s="33">
        <v>2013</v>
      </c>
      <c r="AA27" s="33">
        <v>20</v>
      </c>
      <c r="AB27" s="33">
        <v>1</v>
      </c>
      <c r="AC27" s="40">
        <v>0.4</v>
      </c>
      <c r="AD27" s="39"/>
      <c r="AE27" s="60"/>
      <c r="AF27" s="60"/>
      <c r="AG27" s="60"/>
      <c r="AH27" s="60"/>
      <c r="AI27" s="60"/>
    </row>
    <row r="28" spans="1:35" s="621" customFormat="1" ht="15.75">
      <c r="A28" s="69"/>
      <c r="B28" s="618" t="s">
        <v>5</v>
      </c>
      <c r="C28" s="618"/>
      <c r="D28" s="618"/>
      <c r="E28" s="618"/>
      <c r="F28" s="618"/>
      <c r="G28" s="618">
        <v>1981</v>
      </c>
      <c r="H28" s="69">
        <v>20</v>
      </c>
      <c r="I28" s="69">
        <v>2</v>
      </c>
      <c r="J28" s="69">
        <v>0.64</v>
      </c>
      <c r="K28" s="618"/>
      <c r="L28" s="618"/>
      <c r="M28" s="618"/>
      <c r="N28" s="618"/>
      <c r="O28" s="618"/>
      <c r="P28" s="618"/>
      <c r="Q28" s="68">
        <f t="shared" si="0"/>
        <v>1.21186</v>
      </c>
      <c r="R28" s="68"/>
      <c r="S28" s="68">
        <v>0.01186</v>
      </c>
      <c r="T28" s="68">
        <v>1.2</v>
      </c>
      <c r="U28" s="618"/>
      <c r="V28" s="68"/>
      <c r="W28" s="68"/>
      <c r="X28" s="68"/>
      <c r="Y28" s="68"/>
      <c r="Z28" s="69">
        <v>2013</v>
      </c>
      <c r="AA28" s="69">
        <v>20</v>
      </c>
      <c r="AB28" s="69">
        <v>1</v>
      </c>
      <c r="AC28" s="619">
        <v>1.26</v>
      </c>
      <c r="AD28" s="618"/>
      <c r="AE28" s="620"/>
      <c r="AF28" s="620"/>
      <c r="AG28" s="620"/>
      <c r="AH28" s="620"/>
      <c r="AI28" s="620"/>
    </row>
    <row r="29" spans="1:35" s="621" customFormat="1" ht="31.5">
      <c r="A29" s="69"/>
      <c r="B29" s="618" t="s">
        <v>372</v>
      </c>
      <c r="C29" s="618"/>
      <c r="D29" s="618"/>
      <c r="E29" s="618"/>
      <c r="F29" s="618"/>
      <c r="G29" s="618">
        <v>1961</v>
      </c>
      <c r="H29" s="69">
        <v>20</v>
      </c>
      <c r="I29" s="69">
        <v>2</v>
      </c>
      <c r="J29" s="619">
        <v>0.36</v>
      </c>
      <c r="K29" s="618"/>
      <c r="L29" s="618"/>
      <c r="M29" s="618"/>
      <c r="N29" s="618"/>
      <c r="O29" s="618"/>
      <c r="P29" s="618"/>
      <c r="Q29" s="68">
        <f t="shared" si="0"/>
        <v>0.3037</v>
      </c>
      <c r="R29" s="68"/>
      <c r="S29" s="68">
        <v>0.023700000000000002</v>
      </c>
      <c r="T29" s="68">
        <v>0.28</v>
      </c>
      <c r="U29" s="618"/>
      <c r="V29" s="68"/>
      <c r="W29" s="68"/>
      <c r="X29" s="68"/>
      <c r="Y29" s="68"/>
      <c r="Z29" s="69">
        <v>2013</v>
      </c>
      <c r="AA29" s="69">
        <v>20</v>
      </c>
      <c r="AB29" s="69">
        <v>2</v>
      </c>
      <c r="AC29" s="619">
        <v>0.5</v>
      </c>
      <c r="AD29" s="618"/>
      <c r="AE29" s="620"/>
      <c r="AF29" s="620"/>
      <c r="AG29" s="620"/>
      <c r="AH29" s="620"/>
      <c r="AI29" s="620"/>
    </row>
    <row r="30" spans="1:35" s="621" customFormat="1" ht="31.5">
      <c r="A30" s="69"/>
      <c r="B30" s="618" t="s">
        <v>373</v>
      </c>
      <c r="C30" s="618"/>
      <c r="D30" s="618"/>
      <c r="E30" s="618"/>
      <c r="F30" s="618"/>
      <c r="G30" s="618">
        <v>1971</v>
      </c>
      <c r="H30" s="69">
        <v>20</v>
      </c>
      <c r="I30" s="69">
        <v>2</v>
      </c>
      <c r="J30" s="619">
        <v>0.63</v>
      </c>
      <c r="K30" s="618"/>
      <c r="L30" s="618"/>
      <c r="M30" s="618"/>
      <c r="N30" s="618"/>
      <c r="O30" s="618"/>
      <c r="P30" s="618"/>
      <c r="Q30" s="68">
        <f t="shared" si="0"/>
        <v>0.3837</v>
      </c>
      <c r="R30" s="68"/>
      <c r="S30" s="68">
        <v>0.023700000000000002</v>
      </c>
      <c r="T30" s="68">
        <v>0.36</v>
      </c>
      <c r="U30" s="618"/>
      <c r="V30" s="68"/>
      <c r="W30" s="68"/>
      <c r="X30" s="68"/>
      <c r="Y30" s="68"/>
      <c r="Z30" s="69">
        <v>2013</v>
      </c>
      <c r="AA30" s="69">
        <v>20</v>
      </c>
      <c r="AB30" s="69">
        <v>2</v>
      </c>
      <c r="AC30" s="619">
        <v>0.8</v>
      </c>
      <c r="AD30" s="618"/>
      <c r="AE30" s="620"/>
      <c r="AF30" s="620"/>
      <c r="AG30" s="620"/>
      <c r="AH30" s="620"/>
      <c r="AI30" s="620"/>
    </row>
    <row r="31" spans="1:35" s="71" customFormat="1" ht="15.75">
      <c r="A31" s="33"/>
      <c r="B31" s="30" t="s">
        <v>354</v>
      </c>
      <c r="C31" s="33"/>
      <c r="D31" s="33"/>
      <c r="E31" s="33"/>
      <c r="F31" s="33"/>
      <c r="G31" s="33"/>
      <c r="H31" s="33"/>
      <c r="I31" s="70">
        <f>SUM(I23:I30)</f>
        <v>13</v>
      </c>
      <c r="J31" s="34">
        <f>SUM(J23:J30)</f>
        <v>3.32</v>
      </c>
      <c r="K31" s="34"/>
      <c r="L31" s="34"/>
      <c r="M31" s="34"/>
      <c r="N31" s="34"/>
      <c r="O31" s="34"/>
      <c r="P31" s="34"/>
      <c r="Q31" s="65">
        <f>SUM(Q23:Q30)</f>
        <v>2.9936800000000003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70">
        <f>SUM(AB23:AB30)</f>
        <v>12</v>
      </c>
      <c r="AC31" s="34">
        <f>SUM(AC23:AC30)</f>
        <v>4.46</v>
      </c>
      <c r="AD31" s="64"/>
      <c r="AE31" s="64"/>
      <c r="AF31" s="64"/>
      <c r="AG31" s="64"/>
      <c r="AH31" s="64"/>
      <c r="AI31" s="64"/>
    </row>
    <row r="32" spans="1:35" s="71" customFormat="1" ht="15.75">
      <c r="A32" s="33"/>
      <c r="B32" s="30"/>
      <c r="C32" s="33"/>
      <c r="D32" s="33"/>
      <c r="E32" s="33"/>
      <c r="F32" s="33"/>
      <c r="G32" s="33"/>
      <c r="H32" s="33"/>
      <c r="I32" s="70"/>
      <c r="J32" s="34"/>
      <c r="K32" s="34"/>
      <c r="L32" s="34"/>
      <c r="M32" s="34"/>
      <c r="N32" s="34"/>
      <c r="O32" s="34"/>
      <c r="P32" s="34"/>
      <c r="Q32" s="65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70"/>
      <c r="AC32" s="34"/>
      <c r="AD32" s="64"/>
      <c r="AE32" s="64"/>
      <c r="AF32" s="64"/>
      <c r="AG32" s="64"/>
      <c r="AH32" s="64"/>
      <c r="AI32" s="64"/>
    </row>
    <row r="33" spans="1:35" ht="15.75">
      <c r="A33" s="33"/>
      <c r="B33" s="62" t="s">
        <v>374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63"/>
      <c r="R33" s="63"/>
      <c r="S33" s="63"/>
      <c r="T33" s="63"/>
      <c r="U33" s="39"/>
      <c r="V33" s="39"/>
      <c r="W33" s="39"/>
      <c r="X33" s="39"/>
      <c r="Y33" s="39"/>
      <c r="Z33" s="64"/>
      <c r="AA33" s="64"/>
      <c r="AB33" s="60"/>
      <c r="AC33" s="66"/>
      <c r="AD33" s="60"/>
      <c r="AE33" s="60"/>
      <c r="AF33" s="60"/>
      <c r="AG33" s="60"/>
      <c r="AH33" s="60"/>
      <c r="AI33" s="60"/>
    </row>
    <row r="34" spans="1:35" ht="15.75">
      <c r="A34" s="33"/>
      <c r="B34" s="39" t="s">
        <v>6</v>
      </c>
      <c r="C34" s="39"/>
      <c r="D34" s="39"/>
      <c r="E34" s="39"/>
      <c r="F34" s="39"/>
      <c r="G34" s="39">
        <v>1958</v>
      </c>
      <c r="H34" s="33">
        <v>20</v>
      </c>
      <c r="I34" s="33">
        <v>1</v>
      </c>
      <c r="J34" s="33">
        <v>0.25</v>
      </c>
      <c r="K34" s="39"/>
      <c r="L34" s="39"/>
      <c r="M34" s="39"/>
      <c r="N34" s="39"/>
      <c r="O34" s="39"/>
      <c r="P34" s="39"/>
      <c r="Q34" s="68">
        <f>S34+T34</f>
        <v>0.15186000000000002</v>
      </c>
      <c r="R34" s="63"/>
      <c r="S34" s="63">
        <v>0.01186</v>
      </c>
      <c r="T34" s="63">
        <v>0.14</v>
      </c>
      <c r="U34" s="39"/>
      <c r="V34" s="63"/>
      <c r="W34" s="63"/>
      <c r="X34" s="63"/>
      <c r="Y34" s="63"/>
      <c r="Z34" s="64">
        <v>2013</v>
      </c>
      <c r="AA34" s="64">
        <v>20</v>
      </c>
      <c r="AB34" s="33">
        <v>1</v>
      </c>
      <c r="AC34" s="40">
        <v>0.25</v>
      </c>
      <c r="AD34" s="60"/>
      <c r="AE34" s="60"/>
      <c r="AF34" s="60"/>
      <c r="AG34" s="60"/>
      <c r="AH34" s="60"/>
      <c r="AI34" s="60"/>
    </row>
    <row r="35" spans="1:35" ht="15.75">
      <c r="A35" s="33"/>
      <c r="B35" s="62" t="s">
        <v>355</v>
      </c>
      <c r="C35" s="39"/>
      <c r="D35" s="39"/>
      <c r="E35" s="39"/>
      <c r="F35" s="39"/>
      <c r="G35" s="39"/>
      <c r="H35" s="33"/>
      <c r="I35" s="33"/>
      <c r="J35" s="33"/>
      <c r="K35" s="39"/>
      <c r="L35" s="39"/>
      <c r="M35" s="39"/>
      <c r="N35" s="39"/>
      <c r="O35" s="39"/>
      <c r="P35" s="39"/>
      <c r="Q35" s="63"/>
      <c r="R35" s="63"/>
      <c r="S35" s="63"/>
      <c r="T35" s="63"/>
      <c r="U35" s="39"/>
      <c r="V35" s="39"/>
      <c r="W35" s="39"/>
      <c r="X35" s="39"/>
      <c r="Y35" s="39"/>
      <c r="Z35" s="64"/>
      <c r="AA35" s="64"/>
      <c r="AB35" s="33"/>
      <c r="AC35" s="40"/>
      <c r="AD35" s="60"/>
      <c r="AE35" s="60"/>
      <c r="AF35" s="60"/>
      <c r="AG35" s="60"/>
      <c r="AH35" s="60"/>
      <c r="AI35" s="60"/>
    </row>
    <row r="36" spans="1:35" ht="15.75">
      <c r="A36" s="33"/>
      <c r="B36" s="39" t="s">
        <v>7</v>
      </c>
      <c r="C36" s="39"/>
      <c r="D36" s="39"/>
      <c r="E36" s="39"/>
      <c r="F36" s="39"/>
      <c r="G36" s="39">
        <v>1972</v>
      </c>
      <c r="H36" s="33">
        <v>20</v>
      </c>
      <c r="I36" s="33">
        <v>1</v>
      </c>
      <c r="J36" s="33">
        <v>0.16</v>
      </c>
      <c r="K36" s="39"/>
      <c r="L36" s="39"/>
      <c r="M36" s="39"/>
      <c r="N36" s="39"/>
      <c r="O36" s="39"/>
      <c r="P36" s="39"/>
      <c r="Q36" s="68">
        <f>S36+T36</f>
        <v>0.13</v>
      </c>
      <c r="R36" s="39"/>
      <c r="S36" s="63">
        <v>0.012</v>
      </c>
      <c r="T36" s="63">
        <v>0.11800000000000001</v>
      </c>
      <c r="U36" s="39"/>
      <c r="V36" s="63"/>
      <c r="W36" s="63"/>
      <c r="X36" s="63"/>
      <c r="Y36" s="63"/>
      <c r="Z36" s="64">
        <v>2013</v>
      </c>
      <c r="AA36" s="64">
        <v>20</v>
      </c>
      <c r="AB36" s="33">
        <v>1</v>
      </c>
      <c r="AC36" s="40">
        <v>0.16</v>
      </c>
      <c r="AD36" s="60"/>
      <c r="AE36" s="60"/>
      <c r="AF36" s="60"/>
      <c r="AG36" s="60"/>
      <c r="AH36" s="60"/>
      <c r="AI36" s="33"/>
    </row>
    <row r="37" spans="1:35" ht="15.75">
      <c r="A37" s="33"/>
      <c r="B37" s="62" t="s">
        <v>375</v>
      </c>
      <c r="C37" s="39"/>
      <c r="D37" s="39"/>
      <c r="E37" s="39"/>
      <c r="F37" s="39"/>
      <c r="G37" s="39"/>
      <c r="H37" s="33"/>
      <c r="I37" s="33"/>
      <c r="J37" s="33"/>
      <c r="K37" s="39"/>
      <c r="L37" s="39"/>
      <c r="M37" s="39"/>
      <c r="N37" s="39"/>
      <c r="O37" s="39"/>
      <c r="P37" s="39"/>
      <c r="Q37" s="63"/>
      <c r="R37" s="63"/>
      <c r="S37" s="63"/>
      <c r="T37" s="63"/>
      <c r="U37" s="39"/>
      <c r="V37" s="39"/>
      <c r="W37" s="39"/>
      <c r="X37" s="39"/>
      <c r="Y37" s="39"/>
      <c r="Z37" s="64"/>
      <c r="AA37" s="64"/>
      <c r="AB37" s="33"/>
      <c r="AC37" s="40"/>
      <c r="AD37" s="60"/>
      <c r="AE37" s="60"/>
      <c r="AF37" s="60"/>
      <c r="AG37" s="60"/>
      <c r="AH37" s="60"/>
      <c r="AI37" s="33"/>
    </row>
    <row r="38" spans="1:35" ht="15.75">
      <c r="A38" s="33"/>
      <c r="B38" s="39" t="s">
        <v>8</v>
      </c>
      <c r="C38" s="39"/>
      <c r="D38" s="39"/>
      <c r="E38" s="39"/>
      <c r="F38" s="39"/>
      <c r="G38" s="39">
        <v>1974</v>
      </c>
      <c r="H38" s="33">
        <v>20</v>
      </c>
      <c r="I38" s="33">
        <v>1</v>
      </c>
      <c r="J38" s="33">
        <v>0.25</v>
      </c>
      <c r="K38" s="39"/>
      <c r="L38" s="39"/>
      <c r="M38" s="39"/>
      <c r="N38" s="39"/>
      <c r="O38" s="39"/>
      <c r="P38" s="39"/>
      <c r="Q38" s="68">
        <f>S38+T38</f>
        <v>0.15200000000000002</v>
      </c>
      <c r="R38" s="63"/>
      <c r="S38" s="63">
        <v>0.012</v>
      </c>
      <c r="T38" s="63">
        <v>0.14</v>
      </c>
      <c r="U38" s="39"/>
      <c r="V38" s="63"/>
      <c r="W38" s="63"/>
      <c r="X38" s="63"/>
      <c r="Y38" s="63"/>
      <c r="Z38" s="64">
        <v>2013</v>
      </c>
      <c r="AA38" s="64">
        <v>20</v>
      </c>
      <c r="AB38" s="33">
        <v>1</v>
      </c>
      <c r="AC38" s="40">
        <v>0.25</v>
      </c>
      <c r="AD38" s="60"/>
      <c r="AE38" s="60"/>
      <c r="AF38" s="60"/>
      <c r="AG38" s="60"/>
      <c r="AH38" s="60"/>
      <c r="AI38" s="33"/>
    </row>
    <row r="39" spans="1:35" ht="15.75">
      <c r="A39" s="33"/>
      <c r="B39" s="62" t="s">
        <v>376</v>
      </c>
      <c r="C39" s="39"/>
      <c r="D39" s="39"/>
      <c r="E39" s="39"/>
      <c r="F39" s="39"/>
      <c r="G39" s="39"/>
      <c r="H39" s="33"/>
      <c r="I39" s="33"/>
      <c r="J39" s="33"/>
      <c r="K39" s="39"/>
      <c r="L39" s="39"/>
      <c r="M39" s="39"/>
      <c r="N39" s="39"/>
      <c r="O39" s="39"/>
      <c r="P39" s="39"/>
      <c r="Q39" s="63"/>
      <c r="R39" s="63"/>
      <c r="S39" s="63"/>
      <c r="T39" s="63"/>
      <c r="U39" s="39"/>
      <c r="V39" s="39"/>
      <c r="W39" s="39"/>
      <c r="X39" s="39"/>
      <c r="Y39" s="39"/>
      <c r="Z39" s="64"/>
      <c r="AA39" s="64"/>
      <c r="AB39" s="33"/>
      <c r="AC39" s="40"/>
      <c r="AD39" s="60"/>
      <c r="AE39" s="60"/>
      <c r="AF39" s="60"/>
      <c r="AG39" s="60"/>
      <c r="AH39" s="60"/>
      <c r="AI39" s="60"/>
    </row>
    <row r="40" spans="1:35" ht="15.75">
      <c r="A40" s="33"/>
      <c r="B40" s="39" t="s">
        <v>9</v>
      </c>
      <c r="C40" s="39"/>
      <c r="D40" s="39"/>
      <c r="E40" s="39"/>
      <c r="F40" s="39"/>
      <c r="G40" s="39">
        <v>1967</v>
      </c>
      <c r="H40" s="33">
        <v>20</v>
      </c>
      <c r="I40" s="33">
        <v>1</v>
      </c>
      <c r="J40" s="33">
        <v>0.63</v>
      </c>
      <c r="K40" s="39"/>
      <c r="L40" s="39"/>
      <c r="M40" s="39"/>
      <c r="N40" s="39"/>
      <c r="O40" s="39"/>
      <c r="P40" s="39"/>
      <c r="Q40" s="68">
        <f>S40+T40</f>
        <v>0.612</v>
      </c>
      <c r="R40" s="63"/>
      <c r="S40" s="63">
        <v>0.012</v>
      </c>
      <c r="T40" s="63">
        <v>0.6</v>
      </c>
      <c r="U40" s="39"/>
      <c r="V40" s="63"/>
      <c r="W40" s="63"/>
      <c r="X40" s="63"/>
      <c r="Y40" s="63"/>
      <c r="Z40" s="64">
        <v>2013</v>
      </c>
      <c r="AA40" s="64">
        <v>20</v>
      </c>
      <c r="AB40" s="33">
        <v>1</v>
      </c>
      <c r="AC40" s="40">
        <v>0.63</v>
      </c>
      <c r="AD40" s="60"/>
      <c r="AE40" s="60"/>
      <c r="AF40" s="60"/>
      <c r="AG40" s="60"/>
      <c r="AH40" s="60"/>
      <c r="AI40" s="33"/>
    </row>
    <row r="41" spans="1:35" ht="15.75">
      <c r="A41" s="33"/>
      <c r="B41" s="62" t="s">
        <v>377</v>
      </c>
      <c r="C41" s="39"/>
      <c r="D41" s="39"/>
      <c r="E41" s="39"/>
      <c r="F41" s="39"/>
      <c r="G41" s="39"/>
      <c r="H41" s="33"/>
      <c r="I41" s="33"/>
      <c r="J41" s="33"/>
      <c r="K41" s="39"/>
      <c r="L41" s="39"/>
      <c r="M41" s="39"/>
      <c r="N41" s="39"/>
      <c r="O41" s="39"/>
      <c r="P41" s="39"/>
      <c r="Q41" s="63"/>
      <c r="R41" s="63"/>
      <c r="S41" s="63"/>
      <c r="T41" s="63"/>
      <c r="U41" s="39"/>
      <c r="V41" s="39"/>
      <c r="W41" s="39"/>
      <c r="X41" s="39"/>
      <c r="Y41" s="39"/>
      <c r="Z41" s="64"/>
      <c r="AA41" s="64"/>
      <c r="AB41" s="33"/>
      <c r="AC41" s="40"/>
      <c r="AD41" s="60"/>
      <c r="AE41" s="60"/>
      <c r="AF41" s="60"/>
      <c r="AG41" s="60"/>
      <c r="AH41" s="60"/>
      <c r="AI41" s="33"/>
    </row>
    <row r="42" spans="1:35" ht="15.75">
      <c r="A42" s="33"/>
      <c r="B42" s="39" t="s">
        <v>10</v>
      </c>
      <c r="C42" s="39"/>
      <c r="D42" s="39"/>
      <c r="E42" s="39"/>
      <c r="F42" s="39"/>
      <c r="G42" s="39">
        <v>1972</v>
      </c>
      <c r="H42" s="33">
        <v>22.3</v>
      </c>
      <c r="I42" s="33">
        <v>1</v>
      </c>
      <c r="J42" s="33">
        <v>0.18</v>
      </c>
      <c r="K42" s="39"/>
      <c r="L42" s="39"/>
      <c r="M42" s="39"/>
      <c r="N42" s="39"/>
      <c r="O42" s="39"/>
      <c r="P42" s="39"/>
      <c r="Q42" s="68">
        <f>S42+T42</f>
        <v>0.134</v>
      </c>
      <c r="R42" s="63"/>
      <c r="S42" s="63">
        <v>0.012</v>
      </c>
      <c r="T42" s="63">
        <v>0.122</v>
      </c>
      <c r="U42" s="39"/>
      <c r="V42" s="63"/>
      <c r="W42" s="63"/>
      <c r="X42" s="63"/>
      <c r="Y42" s="63"/>
      <c r="Z42" s="64">
        <v>2013</v>
      </c>
      <c r="AA42" s="64">
        <v>20</v>
      </c>
      <c r="AB42" s="33">
        <v>1</v>
      </c>
      <c r="AC42" s="40">
        <v>0.25</v>
      </c>
      <c r="AD42" s="60"/>
      <c r="AE42" s="60"/>
      <c r="AF42" s="60"/>
      <c r="AG42" s="60"/>
      <c r="AH42" s="60"/>
      <c r="AI42" s="33"/>
    </row>
    <row r="43" spans="1:35" ht="15.75">
      <c r="A43" s="33"/>
      <c r="B43" s="62" t="s">
        <v>378</v>
      </c>
      <c r="C43" s="39"/>
      <c r="D43" s="39"/>
      <c r="E43" s="39"/>
      <c r="F43" s="39"/>
      <c r="G43" s="39"/>
      <c r="H43" s="33"/>
      <c r="I43" s="33"/>
      <c r="J43" s="33"/>
      <c r="K43" s="39"/>
      <c r="L43" s="39"/>
      <c r="M43" s="39"/>
      <c r="N43" s="39"/>
      <c r="O43" s="39"/>
      <c r="P43" s="39"/>
      <c r="Q43" s="63"/>
      <c r="R43" s="63"/>
      <c r="S43" s="63"/>
      <c r="T43" s="63"/>
      <c r="U43" s="39"/>
      <c r="V43" s="39"/>
      <c r="W43" s="39"/>
      <c r="X43" s="39"/>
      <c r="Y43" s="39"/>
      <c r="Z43" s="64"/>
      <c r="AA43" s="64"/>
      <c r="AB43" s="33"/>
      <c r="AC43" s="40"/>
      <c r="AD43" s="60"/>
      <c r="AE43" s="60"/>
      <c r="AF43" s="60"/>
      <c r="AG43" s="60"/>
      <c r="AH43" s="60"/>
      <c r="AI43" s="33"/>
    </row>
    <row r="44" spans="1:35" ht="15.75">
      <c r="A44" s="33"/>
      <c r="B44" s="39" t="s">
        <v>11</v>
      </c>
      <c r="C44" s="39"/>
      <c r="D44" s="39"/>
      <c r="E44" s="39"/>
      <c r="F44" s="39"/>
      <c r="G44" s="39">
        <v>1974</v>
      </c>
      <c r="H44" s="33">
        <v>23</v>
      </c>
      <c r="I44" s="33">
        <v>1</v>
      </c>
      <c r="J44" s="33">
        <v>0.4</v>
      </c>
      <c r="K44" s="39"/>
      <c r="L44" s="39"/>
      <c r="M44" s="39"/>
      <c r="N44" s="39"/>
      <c r="O44" s="39"/>
      <c r="P44" s="39"/>
      <c r="Q44" s="68">
        <f>S44+T44</f>
        <v>0.192</v>
      </c>
      <c r="R44" s="63"/>
      <c r="S44" s="63">
        <v>0.012</v>
      </c>
      <c r="T44" s="63">
        <v>0.18</v>
      </c>
      <c r="U44" s="39"/>
      <c r="V44" s="63"/>
      <c r="W44" s="63"/>
      <c r="X44" s="63"/>
      <c r="Y44" s="63"/>
      <c r="Z44" s="64">
        <v>2013</v>
      </c>
      <c r="AA44" s="64">
        <v>20</v>
      </c>
      <c r="AB44" s="33">
        <v>1</v>
      </c>
      <c r="AC44" s="40">
        <v>0.4</v>
      </c>
      <c r="AD44" s="60"/>
      <c r="AE44" s="60"/>
      <c r="AF44" s="60"/>
      <c r="AG44" s="60"/>
      <c r="AH44" s="60"/>
      <c r="AI44" s="33"/>
    </row>
    <row r="45" spans="1:35" s="74" customFormat="1" ht="15.75">
      <c r="A45" s="30"/>
      <c r="B45" s="30" t="s">
        <v>360</v>
      </c>
      <c r="C45" s="35"/>
      <c r="D45" s="35"/>
      <c r="E45" s="35"/>
      <c r="F45" s="46"/>
      <c r="G45" s="35"/>
      <c r="H45" s="35"/>
      <c r="I45" s="72">
        <f>I34+I36+I38+I40+I42+I44</f>
        <v>6</v>
      </c>
      <c r="J45" s="34">
        <f>SUM(J34:J44)</f>
        <v>1.87</v>
      </c>
      <c r="K45" s="35"/>
      <c r="L45" s="35"/>
      <c r="M45" s="35"/>
      <c r="N45" s="35"/>
      <c r="O45" s="35"/>
      <c r="P45" s="73"/>
      <c r="Q45" s="65">
        <f>SUM(Q34:Q44)</f>
        <v>1.37186</v>
      </c>
      <c r="R45" s="65"/>
      <c r="S45" s="65"/>
      <c r="T45" s="65"/>
      <c r="U45" s="35"/>
      <c r="V45" s="65"/>
      <c r="W45" s="35"/>
      <c r="X45" s="35"/>
      <c r="Y45" s="35"/>
      <c r="Z45" s="73"/>
      <c r="AA45" s="73"/>
      <c r="AB45" s="72">
        <f>AB34+AB36+AB38+AB40+AB42+AB44</f>
        <v>6</v>
      </c>
      <c r="AC45" s="34">
        <f>SUM(AC34:AC44)</f>
        <v>1.94</v>
      </c>
      <c r="AD45" s="73"/>
      <c r="AE45" s="73"/>
      <c r="AF45" s="73"/>
      <c r="AG45" s="73"/>
      <c r="AH45" s="73"/>
      <c r="AI45" s="73"/>
    </row>
    <row r="46" spans="1:35" s="74" customFormat="1" ht="15.75">
      <c r="A46" s="30"/>
      <c r="B46" s="30" t="s">
        <v>362</v>
      </c>
      <c r="C46" s="35"/>
      <c r="D46" s="35"/>
      <c r="E46" s="35"/>
      <c r="F46" s="46"/>
      <c r="G46" s="35"/>
      <c r="H46" s="35"/>
      <c r="I46" s="70">
        <f>I31+I45</f>
        <v>19</v>
      </c>
      <c r="J46" s="34">
        <f>J31+J45</f>
        <v>5.1899999999999995</v>
      </c>
      <c r="K46" s="35"/>
      <c r="L46" s="35"/>
      <c r="M46" s="35"/>
      <c r="N46" s="35"/>
      <c r="O46" s="35"/>
      <c r="P46" s="67"/>
      <c r="Q46" s="65">
        <f>Q31+Q45</f>
        <v>4.36554</v>
      </c>
      <c r="R46" s="65"/>
      <c r="S46" s="65"/>
      <c r="T46" s="65"/>
      <c r="U46" s="35"/>
      <c r="V46" s="65"/>
      <c r="W46" s="35"/>
      <c r="X46" s="35"/>
      <c r="Y46" s="35"/>
      <c r="Z46" s="75"/>
      <c r="AA46" s="73"/>
      <c r="AB46" s="70">
        <f>AB31+AB45</f>
        <v>18</v>
      </c>
      <c r="AC46" s="34">
        <f>AC31+AC45</f>
        <v>6.4</v>
      </c>
      <c r="AD46" s="73"/>
      <c r="AE46" s="73"/>
      <c r="AF46" s="73"/>
      <c r="AG46" s="73"/>
      <c r="AH46" s="73"/>
      <c r="AI46" s="73"/>
    </row>
    <row r="47" spans="1:35" ht="18.75">
      <c r="A47" s="37" t="s">
        <v>286</v>
      </c>
      <c r="B47" s="615" t="s">
        <v>287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67"/>
      <c r="O47" s="39"/>
      <c r="P47" s="39"/>
      <c r="Q47" s="66"/>
      <c r="R47" s="63"/>
      <c r="S47" s="63"/>
      <c r="T47" s="63"/>
      <c r="U47" s="39"/>
      <c r="V47" s="39"/>
      <c r="W47" s="39"/>
      <c r="X47" s="39"/>
      <c r="Y47" s="39"/>
      <c r="Z47" s="64"/>
      <c r="AA47" s="64"/>
      <c r="AB47" s="60"/>
      <c r="AC47" s="60"/>
      <c r="AD47" s="60"/>
      <c r="AE47" s="60"/>
      <c r="AF47" s="60"/>
      <c r="AG47" s="60"/>
      <c r="AH47" s="60"/>
      <c r="AI47" s="60"/>
    </row>
    <row r="48" spans="1:35" ht="15.75">
      <c r="A48" s="616"/>
      <c r="B48" s="62" t="s">
        <v>348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76"/>
      <c r="O48" s="67"/>
      <c r="P48" s="39"/>
      <c r="Q48" s="63"/>
      <c r="R48" s="63"/>
      <c r="S48" s="63"/>
      <c r="T48" s="63"/>
      <c r="U48" s="39"/>
      <c r="V48" s="39"/>
      <c r="W48" s="39"/>
      <c r="X48" s="39"/>
      <c r="Y48" s="39"/>
      <c r="Z48" s="64"/>
      <c r="AA48" s="64"/>
      <c r="AB48" s="60"/>
      <c r="AC48" s="60"/>
      <c r="AD48" s="60"/>
      <c r="AE48" s="60"/>
      <c r="AF48" s="60"/>
      <c r="AG48" s="60"/>
      <c r="AH48" s="60"/>
      <c r="AI48" s="60"/>
    </row>
    <row r="49" spans="1:35" ht="15.75">
      <c r="A49" s="33"/>
      <c r="B49" s="39" t="s">
        <v>379</v>
      </c>
      <c r="C49" s="39"/>
      <c r="D49" s="39"/>
      <c r="E49" s="39"/>
      <c r="F49" s="39"/>
      <c r="G49" s="33">
        <v>1957</v>
      </c>
      <c r="H49" s="33">
        <v>20</v>
      </c>
      <c r="I49" s="39"/>
      <c r="J49" s="39"/>
      <c r="K49" s="33"/>
      <c r="L49" s="33"/>
      <c r="M49" s="33"/>
      <c r="N49" s="33"/>
      <c r="O49" s="33"/>
      <c r="P49" s="39"/>
      <c r="Q49" s="63"/>
      <c r="R49" s="63"/>
      <c r="S49" s="63"/>
      <c r="T49" s="40"/>
      <c r="U49" s="39"/>
      <c r="V49" s="39"/>
      <c r="W49" s="39"/>
      <c r="X49" s="39"/>
      <c r="Y49" s="39"/>
      <c r="Z49" s="33">
        <v>2013</v>
      </c>
      <c r="AA49" s="33">
        <v>20</v>
      </c>
      <c r="AB49" s="60"/>
      <c r="AC49" s="60"/>
      <c r="AD49" s="33"/>
      <c r="AE49" s="33"/>
      <c r="AF49" s="60"/>
      <c r="AG49" s="33"/>
      <c r="AH49" s="33"/>
      <c r="AI49" s="33"/>
    </row>
    <row r="50" spans="1:35" ht="47.25">
      <c r="A50" s="33"/>
      <c r="B50" s="39" t="s">
        <v>380</v>
      </c>
      <c r="C50" s="39"/>
      <c r="D50" s="39"/>
      <c r="E50" s="39"/>
      <c r="F50" s="39"/>
      <c r="G50" s="33"/>
      <c r="H50" s="33"/>
      <c r="I50" s="39"/>
      <c r="J50" s="39"/>
      <c r="K50" s="33"/>
      <c r="L50" s="33"/>
      <c r="M50" s="33"/>
      <c r="N50" s="33"/>
      <c r="O50" s="33"/>
      <c r="P50" s="39" t="s">
        <v>381</v>
      </c>
      <c r="Q50" s="68">
        <f>S50+T50</f>
        <v>0.06677965999999999</v>
      </c>
      <c r="R50" s="63"/>
      <c r="S50" s="63">
        <v>0.00677966</v>
      </c>
      <c r="T50" s="40">
        <v>0.06</v>
      </c>
      <c r="U50" s="39"/>
      <c r="V50" s="63"/>
      <c r="W50" s="63"/>
      <c r="X50" s="63"/>
      <c r="Y50" s="63"/>
      <c r="Z50" s="33"/>
      <c r="AA50" s="33"/>
      <c r="AB50" s="60"/>
      <c r="AC50" s="60"/>
      <c r="AD50" s="33"/>
      <c r="AE50" s="33"/>
      <c r="AF50" s="60"/>
      <c r="AG50" s="33"/>
      <c r="AH50" s="33"/>
      <c r="AI50" s="33" t="s">
        <v>382</v>
      </c>
    </row>
    <row r="51" spans="1:35" ht="47.25">
      <c r="A51" s="33"/>
      <c r="B51" s="39" t="s">
        <v>383</v>
      </c>
      <c r="C51" s="39"/>
      <c r="D51" s="39"/>
      <c r="E51" s="39"/>
      <c r="F51" s="39"/>
      <c r="G51" s="33"/>
      <c r="H51" s="33"/>
      <c r="I51" s="39"/>
      <c r="J51" s="39"/>
      <c r="K51" s="33"/>
      <c r="L51" s="33"/>
      <c r="M51" s="33"/>
      <c r="N51" s="33"/>
      <c r="O51" s="33"/>
      <c r="P51" s="39" t="s">
        <v>384</v>
      </c>
      <c r="Q51" s="68">
        <f>S51+T51</f>
        <v>0.056179661016949156</v>
      </c>
      <c r="R51" s="63"/>
      <c r="S51" s="63">
        <v>0.0094</v>
      </c>
      <c r="T51" s="40">
        <f>0.0552/1.18</f>
        <v>0.04677966101694916</v>
      </c>
      <c r="U51" s="39"/>
      <c r="V51" s="63"/>
      <c r="W51" s="63"/>
      <c r="X51" s="63"/>
      <c r="Y51" s="63"/>
      <c r="Z51" s="33"/>
      <c r="AA51" s="33"/>
      <c r="AB51" s="60"/>
      <c r="AC51" s="60"/>
      <c r="AD51" s="33"/>
      <c r="AE51" s="33"/>
      <c r="AF51" s="60"/>
      <c r="AG51" s="33"/>
      <c r="AH51" s="33"/>
      <c r="AI51" s="33" t="s">
        <v>385</v>
      </c>
    </row>
    <row r="52" spans="1:35" ht="15.75">
      <c r="A52" s="33"/>
      <c r="B52" s="39" t="s">
        <v>386</v>
      </c>
      <c r="C52" s="39"/>
      <c r="D52" s="39"/>
      <c r="E52" s="39"/>
      <c r="F52" s="39"/>
      <c r="G52" s="33">
        <v>1956</v>
      </c>
      <c r="H52" s="33">
        <v>20</v>
      </c>
      <c r="I52" s="39"/>
      <c r="J52" s="39"/>
      <c r="K52" s="33"/>
      <c r="L52" s="33"/>
      <c r="M52" s="33"/>
      <c r="N52" s="33"/>
      <c r="O52" s="33"/>
      <c r="P52" s="39"/>
      <c r="Q52" s="63"/>
      <c r="R52" s="63"/>
      <c r="S52" s="63"/>
      <c r="T52" s="40"/>
      <c r="U52" s="39"/>
      <c r="V52" s="63"/>
      <c r="W52" s="63"/>
      <c r="X52" s="63"/>
      <c r="Y52" s="63"/>
      <c r="Z52" s="33">
        <v>2013</v>
      </c>
      <c r="AA52" s="33">
        <v>20</v>
      </c>
      <c r="AB52" s="60"/>
      <c r="AC52" s="60"/>
      <c r="AD52" s="33"/>
      <c r="AE52" s="33"/>
      <c r="AF52" s="60"/>
      <c r="AG52" s="33"/>
      <c r="AH52" s="33"/>
      <c r="AI52" s="33"/>
    </row>
    <row r="53" spans="1:35" ht="47.25">
      <c r="A53" s="33"/>
      <c r="B53" s="39" t="s">
        <v>380</v>
      </c>
      <c r="C53" s="39"/>
      <c r="D53" s="39"/>
      <c r="E53" s="39"/>
      <c r="F53" s="39"/>
      <c r="G53" s="33"/>
      <c r="H53" s="33"/>
      <c r="I53" s="39"/>
      <c r="J53" s="39"/>
      <c r="K53" s="33"/>
      <c r="L53" s="33"/>
      <c r="M53" s="33"/>
      <c r="N53" s="33"/>
      <c r="O53" s="40"/>
      <c r="P53" s="39" t="s">
        <v>381</v>
      </c>
      <c r="Q53" s="68">
        <f>S53+T53</f>
        <v>0.067</v>
      </c>
      <c r="R53" s="63"/>
      <c r="S53" s="63">
        <v>0.007</v>
      </c>
      <c r="T53" s="40">
        <v>0.06</v>
      </c>
      <c r="U53" s="39"/>
      <c r="V53" s="63"/>
      <c r="W53" s="63"/>
      <c r="X53" s="63"/>
      <c r="Y53" s="63"/>
      <c r="Z53" s="33"/>
      <c r="AA53" s="33"/>
      <c r="AB53" s="60"/>
      <c r="AC53" s="60"/>
      <c r="AD53" s="33"/>
      <c r="AE53" s="33"/>
      <c r="AF53" s="60"/>
      <c r="AG53" s="33"/>
      <c r="AH53" s="33"/>
      <c r="AI53" s="33" t="s">
        <v>382</v>
      </c>
    </row>
    <row r="54" spans="1:35" ht="47.25">
      <c r="A54" s="33"/>
      <c r="B54" s="39" t="s">
        <v>383</v>
      </c>
      <c r="C54" s="39"/>
      <c r="D54" s="39"/>
      <c r="E54" s="39"/>
      <c r="F54" s="39"/>
      <c r="G54" s="33"/>
      <c r="H54" s="33"/>
      <c r="I54" s="39"/>
      <c r="J54" s="39"/>
      <c r="K54" s="33"/>
      <c r="L54" s="33"/>
      <c r="M54" s="33"/>
      <c r="N54" s="33"/>
      <c r="O54" s="40"/>
      <c r="P54" s="39" t="s">
        <v>387</v>
      </c>
      <c r="Q54" s="68">
        <f>S54+T54</f>
        <v>0.0882966</v>
      </c>
      <c r="R54" s="63"/>
      <c r="S54" s="63">
        <v>0.0177966</v>
      </c>
      <c r="T54" s="40">
        <v>0.07050000000000001</v>
      </c>
      <c r="U54" s="39"/>
      <c r="V54" s="63"/>
      <c r="W54" s="63"/>
      <c r="X54" s="63"/>
      <c r="Y54" s="63"/>
      <c r="Z54" s="33"/>
      <c r="AA54" s="33"/>
      <c r="AB54" s="60"/>
      <c r="AC54" s="60"/>
      <c r="AD54" s="33"/>
      <c r="AE54" s="33"/>
      <c r="AF54" s="60"/>
      <c r="AG54" s="33"/>
      <c r="AH54" s="33"/>
      <c r="AI54" s="33" t="s">
        <v>388</v>
      </c>
    </row>
    <row r="55" spans="1:35" ht="15.75">
      <c r="A55" s="37"/>
      <c r="B55" s="39" t="s">
        <v>389</v>
      </c>
      <c r="C55" s="39"/>
      <c r="D55" s="39"/>
      <c r="E55" s="39"/>
      <c r="F55" s="39"/>
      <c r="G55" s="33">
        <v>1962</v>
      </c>
      <c r="H55" s="33">
        <v>20</v>
      </c>
      <c r="I55" s="39"/>
      <c r="J55" s="39"/>
      <c r="K55" s="39"/>
      <c r="L55" s="39"/>
      <c r="M55" s="39"/>
      <c r="N55" s="39"/>
      <c r="O55" s="39"/>
      <c r="P55" s="39"/>
      <c r="Q55" s="63"/>
      <c r="R55" s="63"/>
      <c r="S55" s="63"/>
      <c r="T55" s="63"/>
      <c r="U55" s="39"/>
      <c r="V55" s="63"/>
      <c r="W55" s="63"/>
      <c r="X55" s="63"/>
      <c r="Y55" s="63"/>
      <c r="Z55" s="64">
        <v>2013</v>
      </c>
      <c r="AA55" s="64">
        <v>20</v>
      </c>
      <c r="AB55" s="60"/>
      <c r="AC55" s="60"/>
      <c r="AD55" s="33"/>
      <c r="AE55" s="33"/>
      <c r="AF55" s="60"/>
      <c r="AG55" s="33"/>
      <c r="AH55" s="33"/>
      <c r="AI55" s="33"/>
    </row>
    <row r="56" spans="1:35" ht="31.5">
      <c r="A56" s="37"/>
      <c r="B56" s="39" t="s">
        <v>390</v>
      </c>
      <c r="C56" s="39"/>
      <c r="D56" s="39"/>
      <c r="E56" s="39"/>
      <c r="F56" s="39"/>
      <c r="G56" s="33"/>
      <c r="H56" s="33"/>
      <c r="I56" s="39"/>
      <c r="J56" s="39"/>
      <c r="K56" s="39"/>
      <c r="L56" s="39"/>
      <c r="M56" s="39"/>
      <c r="N56" s="39"/>
      <c r="O56" s="39"/>
      <c r="P56" s="39" t="s">
        <v>391</v>
      </c>
      <c r="Q56" s="68">
        <f>S56+T56</f>
        <v>0.24000000000000002</v>
      </c>
      <c r="R56" s="63"/>
      <c r="S56" s="63">
        <v>0.04</v>
      </c>
      <c r="T56" s="63">
        <v>0.2</v>
      </c>
      <c r="U56" s="39"/>
      <c r="V56" s="63"/>
      <c r="W56" s="63"/>
      <c r="X56" s="63"/>
      <c r="Y56" s="63"/>
      <c r="Z56" s="64"/>
      <c r="AA56" s="64"/>
      <c r="AB56" s="60"/>
      <c r="AC56" s="60"/>
      <c r="AD56" s="33"/>
      <c r="AE56" s="33"/>
      <c r="AF56" s="60"/>
      <c r="AG56" s="33"/>
      <c r="AH56" s="33"/>
      <c r="AI56" s="33" t="s">
        <v>392</v>
      </c>
    </row>
    <row r="57" spans="1:35" ht="15.75">
      <c r="A57" s="37"/>
      <c r="B57" s="39" t="s">
        <v>393</v>
      </c>
      <c r="C57" s="39"/>
      <c r="D57" s="39"/>
      <c r="E57" s="39"/>
      <c r="F57" s="39"/>
      <c r="G57" s="33">
        <v>1965</v>
      </c>
      <c r="H57" s="33">
        <v>20</v>
      </c>
      <c r="I57" s="39"/>
      <c r="J57" s="39"/>
      <c r="K57" s="39"/>
      <c r="L57" s="39"/>
      <c r="M57" s="39"/>
      <c r="N57" s="39"/>
      <c r="O57" s="39"/>
      <c r="P57" s="39"/>
      <c r="Q57" s="63"/>
      <c r="R57" s="63"/>
      <c r="S57" s="63"/>
      <c r="T57" s="63"/>
      <c r="U57" s="39"/>
      <c r="V57" s="63"/>
      <c r="W57" s="63"/>
      <c r="X57" s="63"/>
      <c r="Y57" s="63"/>
      <c r="Z57" s="64">
        <v>2013</v>
      </c>
      <c r="AA57" s="64">
        <v>20</v>
      </c>
      <c r="AB57" s="60"/>
      <c r="AC57" s="60"/>
      <c r="AD57" s="33"/>
      <c r="AE57" s="33"/>
      <c r="AF57" s="60"/>
      <c r="AG57" s="33"/>
      <c r="AH57" s="33"/>
      <c r="AI57" s="33"/>
    </row>
    <row r="58" spans="1:35" ht="31.5">
      <c r="A58" s="37"/>
      <c r="B58" s="39" t="s">
        <v>390</v>
      </c>
      <c r="C58" s="39"/>
      <c r="D58" s="39"/>
      <c r="E58" s="39"/>
      <c r="F58" s="39"/>
      <c r="G58" s="39"/>
      <c r="H58" s="33"/>
      <c r="I58" s="39"/>
      <c r="J58" s="39"/>
      <c r="K58" s="39"/>
      <c r="L58" s="39"/>
      <c r="M58" s="39"/>
      <c r="N58" s="39"/>
      <c r="O58" s="39"/>
      <c r="P58" s="39" t="s">
        <v>394</v>
      </c>
      <c r="Q58" s="68">
        <f aca="true" t="shared" si="1" ref="Q58:Q63">S58+T58</f>
        <v>0.216949</v>
      </c>
      <c r="R58" s="63"/>
      <c r="S58" s="63">
        <v>0.016949</v>
      </c>
      <c r="T58" s="63">
        <v>0.2</v>
      </c>
      <c r="U58" s="39"/>
      <c r="V58" s="63"/>
      <c r="W58" s="63"/>
      <c r="X58" s="63"/>
      <c r="Y58" s="63"/>
      <c r="Z58" s="64"/>
      <c r="AA58" s="64"/>
      <c r="AB58" s="60"/>
      <c r="AC58" s="60"/>
      <c r="AD58" s="33"/>
      <c r="AE58" s="33"/>
      <c r="AF58" s="60"/>
      <c r="AG58" s="33"/>
      <c r="AH58" s="33"/>
      <c r="AI58" s="33" t="s">
        <v>392</v>
      </c>
    </row>
    <row r="59" spans="1:36" ht="31.5">
      <c r="A59" s="622"/>
      <c r="B59" s="39" t="s">
        <v>395</v>
      </c>
      <c r="C59" s="33"/>
      <c r="D59" s="33"/>
      <c r="E59" s="33"/>
      <c r="F59" s="33"/>
      <c r="G59" s="33" t="s">
        <v>396</v>
      </c>
      <c r="H59" s="33">
        <v>20</v>
      </c>
      <c r="I59" s="33"/>
      <c r="J59" s="33"/>
      <c r="K59" s="33"/>
      <c r="L59" s="33"/>
      <c r="M59" s="77"/>
      <c r="N59" s="33"/>
      <c r="O59" s="33"/>
      <c r="P59" s="33" t="s">
        <v>397</v>
      </c>
      <c r="Q59" s="68">
        <f t="shared" si="1"/>
        <v>0.17624745762711866</v>
      </c>
      <c r="R59" s="63"/>
      <c r="S59" s="63">
        <v>0.025400000000000002</v>
      </c>
      <c r="T59" s="63">
        <f>0.178/1.18</f>
        <v>0.15084745762711865</v>
      </c>
      <c r="U59" s="33"/>
      <c r="V59" s="63"/>
      <c r="W59" s="63"/>
      <c r="X59" s="63"/>
      <c r="Y59" s="63"/>
      <c r="Z59" s="33">
        <v>2013</v>
      </c>
      <c r="AA59" s="78">
        <v>20</v>
      </c>
      <c r="AB59" s="60"/>
      <c r="AC59" s="60"/>
      <c r="AD59" s="60"/>
      <c r="AE59" s="60"/>
      <c r="AF59" s="60"/>
      <c r="AG59" s="60"/>
      <c r="AH59" s="60"/>
      <c r="AI59" s="33" t="s">
        <v>397</v>
      </c>
      <c r="AJ59" s="79"/>
    </row>
    <row r="60" spans="1:36" s="621" customFormat="1" ht="15.75">
      <c r="A60" s="623"/>
      <c r="B60" s="618" t="s">
        <v>12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24"/>
      <c r="N60" s="69"/>
      <c r="O60" s="69"/>
      <c r="P60" s="69" t="s">
        <v>584</v>
      </c>
      <c r="Q60" s="68">
        <f t="shared" si="1"/>
        <v>0.48000000000000004</v>
      </c>
      <c r="R60" s="68"/>
      <c r="S60" s="68">
        <v>0.08</v>
      </c>
      <c r="T60" s="68">
        <v>0.4</v>
      </c>
      <c r="U60" s="69"/>
      <c r="V60" s="68"/>
      <c r="W60" s="68"/>
      <c r="X60" s="68"/>
      <c r="Y60" s="68"/>
      <c r="Z60" s="69">
        <v>2013</v>
      </c>
      <c r="AA60" s="625">
        <v>20</v>
      </c>
      <c r="AB60" s="620"/>
      <c r="AC60" s="620"/>
      <c r="AD60" s="620"/>
      <c r="AE60" s="620"/>
      <c r="AF60" s="620"/>
      <c r="AG60" s="620"/>
      <c r="AH60" s="620"/>
      <c r="AI60" s="69" t="s">
        <v>13</v>
      </c>
      <c r="AJ60" s="626"/>
    </row>
    <row r="61" spans="1:36" s="621" customFormat="1" ht="15.75">
      <c r="A61" s="623"/>
      <c r="B61" s="618" t="s">
        <v>398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24"/>
      <c r="N61" s="69"/>
      <c r="O61" s="69"/>
      <c r="P61" s="69" t="s">
        <v>399</v>
      </c>
      <c r="Q61" s="68">
        <f t="shared" si="1"/>
        <v>1.48</v>
      </c>
      <c r="R61" s="68"/>
      <c r="S61" s="68">
        <v>0.28</v>
      </c>
      <c r="T61" s="68">
        <v>1.2</v>
      </c>
      <c r="U61" s="69"/>
      <c r="V61" s="68"/>
      <c r="W61" s="68"/>
      <c r="X61" s="68"/>
      <c r="Y61" s="68"/>
      <c r="Z61" s="69">
        <v>2013</v>
      </c>
      <c r="AA61" s="625">
        <v>20</v>
      </c>
      <c r="AB61" s="620"/>
      <c r="AC61" s="620"/>
      <c r="AD61" s="620"/>
      <c r="AE61" s="620"/>
      <c r="AF61" s="620"/>
      <c r="AG61" s="620"/>
      <c r="AH61" s="620"/>
      <c r="AI61" s="69" t="s">
        <v>14</v>
      </c>
      <c r="AJ61" s="626"/>
    </row>
    <row r="62" spans="1:36" s="621" customFormat="1" ht="31.5">
      <c r="A62" s="623"/>
      <c r="B62" s="618" t="s">
        <v>400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24"/>
      <c r="N62" s="69"/>
      <c r="O62" s="69"/>
      <c r="P62" s="69" t="s">
        <v>401</v>
      </c>
      <c r="Q62" s="68">
        <f t="shared" si="1"/>
        <v>0.222</v>
      </c>
      <c r="R62" s="68"/>
      <c r="S62" s="68">
        <v>0.042</v>
      </c>
      <c r="T62" s="68">
        <v>0.18</v>
      </c>
      <c r="U62" s="69"/>
      <c r="V62" s="68"/>
      <c r="W62" s="68"/>
      <c r="X62" s="68"/>
      <c r="Y62" s="68"/>
      <c r="Z62" s="69">
        <v>2013</v>
      </c>
      <c r="AA62" s="625">
        <v>20</v>
      </c>
      <c r="AB62" s="620"/>
      <c r="AC62" s="620"/>
      <c r="AD62" s="620"/>
      <c r="AE62" s="620"/>
      <c r="AF62" s="620"/>
      <c r="AG62" s="620"/>
      <c r="AH62" s="620"/>
      <c r="AI62" s="33" t="s">
        <v>15</v>
      </c>
      <c r="AJ62" s="626"/>
    </row>
    <row r="63" spans="1:36" s="621" customFormat="1" ht="31.5">
      <c r="A63" s="623"/>
      <c r="B63" s="618" t="s">
        <v>402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24"/>
      <c r="N63" s="69"/>
      <c r="O63" s="69"/>
      <c r="P63" s="627" t="s">
        <v>16</v>
      </c>
      <c r="Q63" s="68">
        <f t="shared" si="1"/>
        <v>0.030000000000000002</v>
      </c>
      <c r="R63" s="68"/>
      <c r="S63" s="68">
        <v>0.005</v>
      </c>
      <c r="T63" s="68">
        <v>0.025</v>
      </c>
      <c r="U63" s="69"/>
      <c r="V63" s="68"/>
      <c r="W63" s="68"/>
      <c r="X63" s="68"/>
      <c r="Y63" s="68"/>
      <c r="Z63" s="69">
        <v>2013</v>
      </c>
      <c r="AA63" s="625">
        <v>20</v>
      </c>
      <c r="AB63" s="620"/>
      <c r="AC63" s="620"/>
      <c r="AD63" s="620"/>
      <c r="AE63" s="620"/>
      <c r="AF63" s="620"/>
      <c r="AG63" s="620"/>
      <c r="AH63" s="620"/>
      <c r="AI63" s="69" t="s">
        <v>403</v>
      </c>
      <c r="AJ63" s="626"/>
    </row>
    <row r="64" spans="1:35" ht="15.75">
      <c r="A64" s="33"/>
      <c r="B64" s="30" t="s">
        <v>354</v>
      </c>
      <c r="C64" s="39"/>
      <c r="D64" s="39"/>
      <c r="E64" s="39"/>
      <c r="F64" s="39"/>
      <c r="G64" s="39"/>
      <c r="H64" s="33"/>
      <c r="I64" s="39"/>
      <c r="J64" s="39"/>
      <c r="K64" s="39"/>
      <c r="L64" s="39"/>
      <c r="M64" s="39"/>
      <c r="N64" s="63"/>
      <c r="O64" s="39"/>
      <c r="P64" s="39"/>
      <c r="Q64" s="65">
        <f>SUM(Q50:Q63)</f>
        <v>3.1234523786440676</v>
      </c>
      <c r="R64" s="63"/>
      <c r="S64" s="63"/>
      <c r="T64" s="63"/>
      <c r="U64" s="39"/>
      <c r="V64" s="65"/>
      <c r="W64" s="39"/>
      <c r="X64" s="39"/>
      <c r="Y64" s="39"/>
      <c r="Z64" s="64"/>
      <c r="AA64" s="64"/>
      <c r="AB64" s="60"/>
      <c r="AC64" s="60"/>
      <c r="AD64" s="60"/>
      <c r="AE64" s="60"/>
      <c r="AF64" s="60"/>
      <c r="AG64" s="60"/>
      <c r="AH64" s="60"/>
      <c r="AI64" s="60"/>
    </row>
    <row r="65" spans="1:35" ht="15.75">
      <c r="A65" s="33"/>
      <c r="B65" s="30"/>
      <c r="C65" s="39"/>
      <c r="D65" s="39"/>
      <c r="E65" s="39"/>
      <c r="F65" s="39"/>
      <c r="G65" s="39"/>
      <c r="H65" s="33"/>
      <c r="I65" s="39"/>
      <c r="J65" s="39"/>
      <c r="K65" s="39"/>
      <c r="L65" s="39"/>
      <c r="M65" s="39"/>
      <c r="N65" s="63"/>
      <c r="O65" s="39"/>
      <c r="P65" s="39"/>
      <c r="Q65" s="65"/>
      <c r="R65" s="63"/>
      <c r="S65" s="63"/>
      <c r="T65" s="63"/>
      <c r="U65" s="39"/>
      <c r="V65" s="65"/>
      <c r="W65" s="39"/>
      <c r="X65" s="39"/>
      <c r="Y65" s="39"/>
      <c r="Z65" s="64"/>
      <c r="AA65" s="64"/>
      <c r="AB65" s="60"/>
      <c r="AC65" s="60"/>
      <c r="AD65" s="60"/>
      <c r="AE65" s="60"/>
      <c r="AF65" s="60"/>
      <c r="AG65" s="60"/>
      <c r="AH65" s="60"/>
      <c r="AI65" s="60"/>
    </row>
    <row r="66" spans="1:35" ht="15.75">
      <c r="A66" s="33"/>
      <c r="B66" s="62" t="s">
        <v>404</v>
      </c>
      <c r="C66" s="39"/>
      <c r="D66" s="39"/>
      <c r="E66" s="39"/>
      <c r="F66" s="39"/>
      <c r="G66" s="39"/>
      <c r="H66" s="33"/>
      <c r="I66" s="39"/>
      <c r="J66" s="39"/>
      <c r="K66" s="39"/>
      <c r="L66" s="39"/>
      <c r="M66" s="39"/>
      <c r="N66" s="39"/>
      <c r="O66" s="39"/>
      <c r="P66" s="39"/>
      <c r="Q66" s="63"/>
      <c r="R66" s="63"/>
      <c r="S66" s="63"/>
      <c r="T66" s="63"/>
      <c r="U66" s="39"/>
      <c r="V66" s="39"/>
      <c r="W66" s="39"/>
      <c r="X66" s="39"/>
      <c r="Y66" s="39"/>
      <c r="Z66" s="64"/>
      <c r="AA66" s="64"/>
      <c r="AB66" s="60"/>
      <c r="AC66" s="60"/>
      <c r="AD66" s="60"/>
      <c r="AE66" s="60"/>
      <c r="AF66" s="60"/>
      <c r="AG66" s="60"/>
      <c r="AH66" s="60"/>
      <c r="AI66" s="60"/>
    </row>
    <row r="67" spans="1:35" ht="15.75">
      <c r="A67" s="33"/>
      <c r="B67" s="39" t="s">
        <v>405</v>
      </c>
      <c r="C67" s="39"/>
      <c r="D67" s="39"/>
      <c r="E67" s="39"/>
      <c r="F67" s="39"/>
      <c r="G67" s="33">
        <v>1964</v>
      </c>
      <c r="H67" s="33">
        <v>20</v>
      </c>
      <c r="I67" s="39"/>
      <c r="J67" s="39"/>
      <c r="K67" s="39"/>
      <c r="L67" s="39"/>
      <c r="M67" s="39"/>
      <c r="N67" s="39"/>
      <c r="O67" s="39"/>
      <c r="P67" s="39"/>
      <c r="Q67" s="63"/>
      <c r="R67" s="63"/>
      <c r="S67" s="63"/>
      <c r="T67" s="63"/>
      <c r="U67" s="39"/>
      <c r="V67" s="39"/>
      <c r="W67" s="39"/>
      <c r="X67" s="39"/>
      <c r="Y67" s="39"/>
      <c r="Z67" s="64">
        <v>2013</v>
      </c>
      <c r="AA67" s="64">
        <v>20</v>
      </c>
      <c r="AB67" s="60"/>
      <c r="AC67" s="60"/>
      <c r="AD67" s="60"/>
      <c r="AE67" s="60"/>
      <c r="AF67" s="60"/>
      <c r="AG67" s="60"/>
      <c r="AH67" s="60"/>
      <c r="AI67" s="60"/>
    </row>
    <row r="68" spans="1:35" ht="31.5">
      <c r="A68" s="33"/>
      <c r="B68" s="39" t="s">
        <v>406</v>
      </c>
      <c r="C68" s="39"/>
      <c r="D68" s="39"/>
      <c r="E68" s="39"/>
      <c r="F68" s="39"/>
      <c r="G68" s="33"/>
      <c r="H68" s="33"/>
      <c r="I68" s="39"/>
      <c r="J68" s="39"/>
      <c r="K68" s="39"/>
      <c r="L68" s="39"/>
      <c r="M68" s="39"/>
      <c r="N68" s="39"/>
      <c r="O68" s="39"/>
      <c r="P68" s="39" t="s">
        <v>407</v>
      </c>
      <c r="Q68" s="68">
        <f>S68+T68</f>
        <v>0.08847000000000001</v>
      </c>
      <c r="R68" s="63"/>
      <c r="S68" s="63">
        <v>0.00847</v>
      </c>
      <c r="T68" s="63">
        <v>0.08</v>
      </c>
      <c r="U68" s="39"/>
      <c r="V68" s="63"/>
      <c r="W68" s="63"/>
      <c r="X68" s="63"/>
      <c r="Y68" s="63"/>
      <c r="Z68" s="64"/>
      <c r="AA68" s="64"/>
      <c r="AB68" s="60"/>
      <c r="AC68" s="60"/>
      <c r="AD68" s="60"/>
      <c r="AE68" s="60"/>
      <c r="AF68" s="60"/>
      <c r="AG68" s="60"/>
      <c r="AH68" s="60"/>
      <c r="AI68" s="33" t="s">
        <v>408</v>
      </c>
    </row>
    <row r="69" spans="1:35" ht="15.75">
      <c r="A69" s="33"/>
      <c r="B69" s="62" t="s">
        <v>355</v>
      </c>
      <c r="C69" s="39"/>
      <c r="D69" s="39"/>
      <c r="E69" s="39"/>
      <c r="F69" s="39"/>
      <c r="G69" s="39"/>
      <c r="H69" s="33"/>
      <c r="I69" s="39"/>
      <c r="J69" s="39"/>
      <c r="K69" s="39"/>
      <c r="L69" s="39"/>
      <c r="M69" s="39"/>
      <c r="N69" s="39"/>
      <c r="O69" s="39"/>
      <c r="P69" s="39"/>
      <c r="Q69" s="63"/>
      <c r="R69" s="63"/>
      <c r="S69" s="63"/>
      <c r="T69" s="63"/>
      <c r="U69" s="39"/>
      <c r="V69" s="39"/>
      <c r="W69" s="39"/>
      <c r="X69" s="39"/>
      <c r="Y69" s="39"/>
      <c r="Z69" s="64"/>
      <c r="AA69" s="64"/>
      <c r="AB69" s="60"/>
      <c r="AC69" s="60"/>
      <c r="AD69" s="60"/>
      <c r="AE69" s="60"/>
      <c r="AF69" s="60"/>
      <c r="AG69" s="60"/>
      <c r="AH69" s="60"/>
      <c r="AI69" s="60"/>
    </row>
    <row r="70" spans="1:35" ht="15.75">
      <c r="A70" s="33"/>
      <c r="B70" s="39" t="s">
        <v>412</v>
      </c>
      <c r="C70" s="39"/>
      <c r="D70" s="39"/>
      <c r="E70" s="39"/>
      <c r="F70" s="39"/>
      <c r="G70" s="33">
        <v>1961</v>
      </c>
      <c r="H70" s="33">
        <v>23</v>
      </c>
      <c r="I70" s="39"/>
      <c r="J70" s="39"/>
      <c r="K70" s="39"/>
      <c r="L70" s="39"/>
      <c r="M70" s="39"/>
      <c r="N70" s="39"/>
      <c r="O70" s="39"/>
      <c r="P70" s="39"/>
      <c r="Q70" s="63"/>
      <c r="R70" s="63"/>
      <c r="S70" s="63"/>
      <c r="T70" s="63"/>
      <c r="U70" s="39"/>
      <c r="V70" s="39"/>
      <c r="W70" s="39"/>
      <c r="X70" s="39"/>
      <c r="Y70" s="39"/>
      <c r="Z70" s="64">
        <v>2013</v>
      </c>
      <c r="AA70" s="64">
        <v>20</v>
      </c>
      <c r="AB70" s="60"/>
      <c r="AC70" s="60"/>
      <c r="AD70" s="60"/>
      <c r="AE70" s="60"/>
      <c r="AF70" s="60"/>
      <c r="AG70" s="60"/>
      <c r="AH70" s="60"/>
      <c r="AI70" s="60"/>
    </row>
    <row r="71" spans="1:35" ht="15.75">
      <c r="A71" s="33"/>
      <c r="B71" s="39" t="s">
        <v>383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9" t="s">
        <v>413</v>
      </c>
      <c r="Q71" s="68">
        <f>S71+T71</f>
        <v>0.216949</v>
      </c>
      <c r="R71" s="63"/>
      <c r="S71" s="63">
        <v>0.016949</v>
      </c>
      <c r="T71" s="63">
        <v>0.2</v>
      </c>
      <c r="U71" s="39"/>
      <c r="V71" s="63"/>
      <c r="W71" s="63"/>
      <c r="X71" s="63"/>
      <c r="Y71" s="63"/>
      <c r="Z71" s="64"/>
      <c r="AA71" s="64"/>
      <c r="AB71" s="60"/>
      <c r="AC71" s="60"/>
      <c r="AD71" s="60"/>
      <c r="AE71" s="60"/>
      <c r="AF71" s="60"/>
      <c r="AG71" s="60"/>
      <c r="AH71" s="60"/>
      <c r="AI71" s="33" t="s">
        <v>414</v>
      </c>
    </row>
    <row r="72" spans="1:35" ht="15.75">
      <c r="A72" s="33"/>
      <c r="B72" s="39" t="s">
        <v>415</v>
      </c>
      <c r="C72" s="33"/>
      <c r="D72" s="33"/>
      <c r="E72" s="33"/>
      <c r="F72" s="33"/>
      <c r="G72" s="33">
        <v>1975</v>
      </c>
      <c r="H72" s="33">
        <v>23</v>
      </c>
      <c r="I72" s="33"/>
      <c r="J72" s="33"/>
      <c r="K72" s="33"/>
      <c r="L72" s="33"/>
      <c r="M72" s="33"/>
      <c r="N72" s="33"/>
      <c r="O72" s="33"/>
      <c r="P72" s="39"/>
      <c r="Q72" s="63"/>
      <c r="R72" s="63"/>
      <c r="S72" s="63"/>
      <c r="T72" s="63"/>
      <c r="U72" s="39"/>
      <c r="V72" s="39"/>
      <c r="W72" s="39"/>
      <c r="X72" s="39"/>
      <c r="Y72" s="39"/>
      <c r="Z72" s="64">
        <v>2013</v>
      </c>
      <c r="AA72" s="64">
        <v>20</v>
      </c>
      <c r="AB72" s="60"/>
      <c r="AC72" s="60"/>
      <c r="AD72" s="60"/>
      <c r="AE72" s="60"/>
      <c r="AF72" s="60"/>
      <c r="AG72" s="60"/>
      <c r="AH72" s="60"/>
      <c r="AI72" s="33"/>
    </row>
    <row r="73" spans="1:35" ht="15.75">
      <c r="A73" s="33"/>
      <c r="B73" s="39" t="s">
        <v>411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9" t="s">
        <v>416</v>
      </c>
      <c r="Q73" s="68">
        <f>S73+T73</f>
        <v>0.10847000000000001</v>
      </c>
      <c r="R73" s="63"/>
      <c r="S73" s="63">
        <v>0.00847</v>
      </c>
      <c r="T73" s="63">
        <v>0.1</v>
      </c>
      <c r="U73" s="39"/>
      <c r="V73" s="63"/>
      <c r="W73" s="63"/>
      <c r="X73" s="63"/>
      <c r="Y73" s="63"/>
      <c r="Z73" s="64"/>
      <c r="AA73" s="64"/>
      <c r="AB73" s="60"/>
      <c r="AC73" s="60"/>
      <c r="AD73" s="60"/>
      <c r="AE73" s="60"/>
      <c r="AF73" s="60"/>
      <c r="AG73" s="60"/>
      <c r="AH73" s="60"/>
      <c r="AI73" s="33" t="s">
        <v>417</v>
      </c>
    </row>
    <row r="74" spans="1:35" ht="47.25">
      <c r="A74" s="33"/>
      <c r="B74" s="39" t="s">
        <v>380</v>
      </c>
      <c r="C74" s="39"/>
      <c r="D74" s="39"/>
      <c r="E74" s="39"/>
      <c r="F74" s="39"/>
      <c r="G74" s="33"/>
      <c r="H74" s="33"/>
      <c r="I74" s="39"/>
      <c r="J74" s="39"/>
      <c r="K74" s="39"/>
      <c r="L74" s="39"/>
      <c r="M74" s="39"/>
      <c r="N74" s="39"/>
      <c r="O74" s="39"/>
      <c r="P74" s="39" t="s">
        <v>418</v>
      </c>
      <c r="Q74" s="68">
        <f>S74+T74</f>
        <v>0.074</v>
      </c>
      <c r="R74" s="63"/>
      <c r="S74" s="63">
        <v>0.014</v>
      </c>
      <c r="T74" s="63">
        <v>0.06</v>
      </c>
      <c r="U74" s="39"/>
      <c r="V74" s="63"/>
      <c r="W74" s="63"/>
      <c r="X74" s="63"/>
      <c r="Y74" s="63"/>
      <c r="Z74" s="64"/>
      <c r="AA74" s="64"/>
      <c r="AB74" s="60"/>
      <c r="AC74" s="60"/>
      <c r="AD74" s="60"/>
      <c r="AE74" s="60"/>
      <c r="AF74" s="60"/>
      <c r="AG74" s="60"/>
      <c r="AH74" s="60"/>
      <c r="AI74" s="39" t="s">
        <v>410</v>
      </c>
    </row>
    <row r="75" spans="1:35" ht="15.75">
      <c r="A75" s="33"/>
      <c r="B75" s="62" t="s">
        <v>376</v>
      </c>
      <c r="C75" s="39"/>
      <c r="D75" s="39"/>
      <c r="E75" s="39"/>
      <c r="F75" s="39"/>
      <c r="G75" s="39"/>
      <c r="H75" s="33"/>
      <c r="I75" s="39"/>
      <c r="J75" s="39"/>
      <c r="K75" s="39"/>
      <c r="L75" s="39"/>
      <c r="M75" s="39"/>
      <c r="N75" s="39"/>
      <c r="O75" s="39"/>
      <c r="P75" s="39"/>
      <c r="Q75" s="63"/>
      <c r="R75" s="63"/>
      <c r="S75" s="63"/>
      <c r="T75" s="63"/>
      <c r="U75" s="39"/>
      <c r="V75" s="39"/>
      <c r="W75" s="39"/>
      <c r="X75" s="39"/>
      <c r="Y75" s="39"/>
      <c r="Z75" s="64"/>
      <c r="AA75" s="64"/>
      <c r="AB75" s="60"/>
      <c r="AC75" s="60"/>
      <c r="AD75" s="60"/>
      <c r="AE75" s="60"/>
      <c r="AF75" s="60"/>
      <c r="AG75" s="60"/>
      <c r="AH75" s="60"/>
      <c r="AI75" s="60"/>
    </row>
    <row r="76" spans="1:35" ht="15.75">
      <c r="A76" s="33"/>
      <c r="B76" s="39" t="s">
        <v>419</v>
      </c>
      <c r="C76" s="39"/>
      <c r="D76" s="39"/>
      <c r="E76" s="39"/>
      <c r="F76" s="39"/>
      <c r="G76" s="33">
        <v>1967</v>
      </c>
      <c r="H76" s="33">
        <v>20</v>
      </c>
      <c r="I76" s="39"/>
      <c r="J76" s="39"/>
      <c r="K76" s="39"/>
      <c r="L76" s="39"/>
      <c r="M76" s="39"/>
      <c r="N76" s="39"/>
      <c r="O76" s="39"/>
      <c r="P76" s="39"/>
      <c r="Q76" s="63"/>
      <c r="R76" s="63"/>
      <c r="S76" s="63"/>
      <c r="T76" s="63"/>
      <c r="U76" s="39"/>
      <c r="V76" s="39"/>
      <c r="W76" s="39"/>
      <c r="X76" s="39"/>
      <c r="Y76" s="39"/>
      <c r="Z76" s="64">
        <v>2013</v>
      </c>
      <c r="AA76" s="64">
        <v>20</v>
      </c>
      <c r="AB76" s="60"/>
      <c r="AC76" s="60"/>
      <c r="AD76" s="60"/>
      <c r="AE76" s="60"/>
      <c r="AF76" s="60"/>
      <c r="AG76" s="60"/>
      <c r="AH76" s="60"/>
      <c r="AI76" s="60"/>
    </row>
    <row r="77" spans="1:35" ht="47.25">
      <c r="A77" s="33"/>
      <c r="B77" s="39" t="s">
        <v>411</v>
      </c>
      <c r="C77" s="39"/>
      <c r="D77" s="39"/>
      <c r="E77" s="39"/>
      <c r="F77" s="39"/>
      <c r="G77" s="33"/>
      <c r="H77" s="33"/>
      <c r="I77" s="39"/>
      <c r="J77" s="39"/>
      <c r="K77" s="33"/>
      <c r="L77" s="33"/>
      <c r="M77" s="33"/>
      <c r="N77" s="33"/>
      <c r="O77" s="33"/>
      <c r="P77" s="39" t="s">
        <v>420</v>
      </c>
      <c r="Q77" s="68">
        <f>S77+T77</f>
        <v>0.054237</v>
      </c>
      <c r="R77" s="63"/>
      <c r="S77" s="63">
        <v>0.0042369999999999994</v>
      </c>
      <c r="T77" s="40">
        <v>0.05</v>
      </c>
      <c r="U77" s="39"/>
      <c r="V77" s="63"/>
      <c r="W77" s="63"/>
      <c r="X77" s="63"/>
      <c r="Y77" s="63"/>
      <c r="Z77" s="64"/>
      <c r="AA77" s="33"/>
      <c r="AB77" s="60"/>
      <c r="AC77" s="60"/>
      <c r="AD77" s="33"/>
      <c r="AE77" s="33"/>
      <c r="AF77" s="60"/>
      <c r="AG77" s="33"/>
      <c r="AH77" s="33"/>
      <c r="AI77" s="33" t="s">
        <v>421</v>
      </c>
    </row>
    <row r="78" spans="1:35" ht="15.75">
      <c r="A78" s="33"/>
      <c r="B78" s="39" t="s">
        <v>422</v>
      </c>
      <c r="C78" s="39"/>
      <c r="D78" s="39"/>
      <c r="E78" s="39"/>
      <c r="F78" s="39"/>
      <c r="G78" s="33">
        <v>1965</v>
      </c>
      <c r="H78" s="33">
        <v>20</v>
      </c>
      <c r="I78" s="39"/>
      <c r="J78" s="39"/>
      <c r="K78" s="33"/>
      <c r="L78" s="33"/>
      <c r="M78" s="33"/>
      <c r="N78" s="33"/>
      <c r="O78" s="33"/>
      <c r="P78" s="39"/>
      <c r="Q78" s="63"/>
      <c r="R78" s="63"/>
      <c r="S78" s="63"/>
      <c r="T78" s="40"/>
      <c r="U78" s="39"/>
      <c r="V78" s="39"/>
      <c r="W78" s="39"/>
      <c r="X78" s="39"/>
      <c r="Y78" s="39"/>
      <c r="Z78" s="64">
        <v>2013</v>
      </c>
      <c r="AA78" s="33">
        <v>20</v>
      </c>
      <c r="AB78" s="60"/>
      <c r="AC78" s="60"/>
      <c r="AD78" s="33"/>
      <c r="AE78" s="33"/>
      <c r="AF78" s="60"/>
      <c r="AG78" s="33"/>
      <c r="AH78" s="33"/>
      <c r="AI78" s="33"/>
    </row>
    <row r="79" spans="1:35" ht="47.25">
      <c r="A79" s="33"/>
      <c r="B79" s="39" t="s">
        <v>409</v>
      </c>
      <c r="C79" s="39"/>
      <c r="D79" s="39"/>
      <c r="E79" s="39"/>
      <c r="F79" s="39"/>
      <c r="G79" s="33"/>
      <c r="H79" s="33"/>
      <c r="I79" s="39"/>
      <c r="J79" s="39"/>
      <c r="K79" s="33"/>
      <c r="L79" s="33"/>
      <c r="M79" s="33"/>
      <c r="N79" s="33"/>
      <c r="O79" s="33"/>
      <c r="P79" s="39" t="s">
        <v>423</v>
      </c>
      <c r="Q79" s="68">
        <f>S79+T79</f>
        <v>0.034</v>
      </c>
      <c r="R79" s="63"/>
      <c r="S79" s="63">
        <v>0.004</v>
      </c>
      <c r="T79" s="40">
        <v>0.03</v>
      </c>
      <c r="U79" s="39"/>
      <c r="V79" s="63"/>
      <c r="W79" s="63"/>
      <c r="X79" s="63"/>
      <c r="Y79" s="63"/>
      <c r="Z79" s="64"/>
      <c r="AA79" s="33"/>
      <c r="AB79" s="60"/>
      <c r="AC79" s="60"/>
      <c r="AD79" s="33"/>
      <c r="AE79" s="33"/>
      <c r="AF79" s="60"/>
      <c r="AG79" s="33"/>
      <c r="AH79" s="33"/>
      <c r="AI79" s="39" t="s">
        <v>424</v>
      </c>
    </row>
    <row r="80" spans="1:35" ht="15.75">
      <c r="A80" s="33"/>
      <c r="B80" s="62" t="s">
        <v>358</v>
      </c>
      <c r="C80" s="39"/>
      <c r="D80" s="39"/>
      <c r="E80" s="39"/>
      <c r="F80" s="39"/>
      <c r="G80" s="33"/>
      <c r="H80" s="39"/>
      <c r="I80" s="39"/>
      <c r="J80" s="39"/>
      <c r="K80" s="39"/>
      <c r="L80" s="39"/>
      <c r="M80" s="39"/>
      <c r="N80" s="39"/>
      <c r="O80" s="39"/>
      <c r="P80" s="39"/>
      <c r="Q80" s="63"/>
      <c r="R80" s="63"/>
      <c r="S80" s="63"/>
      <c r="T80" s="63"/>
      <c r="U80" s="39"/>
      <c r="V80" s="39"/>
      <c r="W80" s="39"/>
      <c r="X80" s="39"/>
      <c r="Y80" s="39"/>
      <c r="Z80" s="64"/>
      <c r="AA80" s="64"/>
      <c r="AB80" s="60"/>
      <c r="AC80" s="60"/>
      <c r="AD80" s="60"/>
      <c r="AE80" s="60"/>
      <c r="AF80" s="60"/>
      <c r="AG80" s="60"/>
      <c r="AH80" s="60"/>
      <c r="AI80" s="33"/>
    </row>
    <row r="81" spans="1:35" ht="15.75">
      <c r="A81" s="33"/>
      <c r="B81" s="39" t="s">
        <v>425</v>
      </c>
      <c r="C81" s="39"/>
      <c r="D81" s="39"/>
      <c r="E81" s="39"/>
      <c r="F81" s="39"/>
      <c r="G81" s="33">
        <v>1972</v>
      </c>
      <c r="H81" s="33">
        <v>22.7</v>
      </c>
      <c r="I81" s="39"/>
      <c r="J81" s="39"/>
      <c r="K81" s="39"/>
      <c r="L81" s="39"/>
      <c r="M81" s="39"/>
      <c r="N81" s="39"/>
      <c r="O81" s="39"/>
      <c r="P81" s="39"/>
      <c r="Q81" s="63"/>
      <c r="R81" s="63"/>
      <c r="S81" s="63"/>
      <c r="T81" s="63"/>
      <c r="U81" s="39"/>
      <c r="V81" s="39"/>
      <c r="W81" s="39"/>
      <c r="X81" s="39"/>
      <c r="Y81" s="39"/>
      <c r="Z81" s="64">
        <v>2013</v>
      </c>
      <c r="AA81" s="64">
        <v>20</v>
      </c>
      <c r="AB81" s="60"/>
      <c r="AC81" s="60"/>
      <c r="AD81" s="60"/>
      <c r="AE81" s="60"/>
      <c r="AF81" s="60"/>
      <c r="AG81" s="60"/>
      <c r="AH81" s="60"/>
      <c r="AI81" s="33"/>
    </row>
    <row r="82" spans="1:35" ht="15.75">
      <c r="A82" s="33"/>
      <c r="B82" s="39" t="s">
        <v>411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9" t="s">
        <v>426</v>
      </c>
      <c r="Q82" s="68">
        <f>S82+T82</f>
        <v>0.02931983050847458</v>
      </c>
      <c r="R82" s="63"/>
      <c r="S82" s="63">
        <v>0.00593</v>
      </c>
      <c r="T82" s="63">
        <f>0.0276/1.18</f>
        <v>0.02338983050847458</v>
      </c>
      <c r="U82" s="39"/>
      <c r="V82" s="63"/>
      <c r="W82" s="63"/>
      <c r="X82" s="63"/>
      <c r="Y82" s="63"/>
      <c r="Z82" s="64"/>
      <c r="AA82" s="64"/>
      <c r="AB82" s="60"/>
      <c r="AC82" s="60"/>
      <c r="AD82" s="60"/>
      <c r="AE82" s="60"/>
      <c r="AF82" s="60"/>
      <c r="AG82" s="60"/>
      <c r="AH82" s="60"/>
      <c r="AI82" s="39" t="s">
        <v>426</v>
      </c>
    </row>
    <row r="83" spans="1:35" ht="15.75">
      <c r="A83" s="33"/>
      <c r="B83" s="30" t="s">
        <v>360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67"/>
      <c r="P83" s="39"/>
      <c r="Q83" s="65">
        <f>SUM(Q68:Q82)</f>
        <v>0.6054458305084746</v>
      </c>
      <c r="R83" s="63"/>
      <c r="S83" s="63"/>
      <c r="T83" s="63"/>
      <c r="U83" s="39"/>
      <c r="V83" s="65"/>
      <c r="W83" s="39"/>
      <c r="X83" s="39"/>
      <c r="Y83" s="39"/>
      <c r="Z83" s="64"/>
      <c r="AA83" s="64"/>
      <c r="AB83" s="60"/>
      <c r="AC83" s="60"/>
      <c r="AD83" s="60"/>
      <c r="AE83" s="60"/>
      <c r="AF83" s="60"/>
      <c r="AG83" s="60"/>
      <c r="AH83" s="60"/>
      <c r="AI83" s="60"/>
    </row>
    <row r="84" spans="1:35" ht="15.75">
      <c r="A84" s="33"/>
      <c r="B84" s="30" t="s">
        <v>362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67"/>
      <c r="P84" s="39"/>
      <c r="Q84" s="65">
        <f>Q83+Q64</f>
        <v>3.728898209152542</v>
      </c>
      <c r="R84" s="63"/>
      <c r="S84" s="63"/>
      <c r="T84" s="63"/>
      <c r="U84" s="39"/>
      <c r="V84" s="65"/>
      <c r="W84" s="39"/>
      <c r="X84" s="39"/>
      <c r="Y84" s="39"/>
      <c r="Z84" s="64"/>
      <c r="AA84" s="64"/>
      <c r="AB84" s="60"/>
      <c r="AC84" s="60"/>
      <c r="AD84" s="60"/>
      <c r="AE84" s="60"/>
      <c r="AF84" s="60"/>
      <c r="AG84" s="60"/>
      <c r="AH84" s="60"/>
      <c r="AI84" s="60"/>
    </row>
    <row r="85" spans="1:35" ht="29.25" customHeight="1">
      <c r="A85" s="37" t="s">
        <v>427</v>
      </c>
      <c r="B85" s="615" t="s">
        <v>289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4"/>
      <c r="R85" s="34"/>
      <c r="S85" s="34"/>
      <c r="T85" s="34"/>
      <c r="U85" s="30"/>
      <c r="V85" s="30"/>
      <c r="W85" s="30"/>
      <c r="X85" s="30"/>
      <c r="Y85" s="30"/>
      <c r="Z85" s="60"/>
      <c r="AA85" s="60"/>
      <c r="AB85" s="60"/>
      <c r="AC85" s="60"/>
      <c r="AD85" s="33"/>
      <c r="AE85" s="33"/>
      <c r="AF85" s="60"/>
      <c r="AG85" s="33"/>
      <c r="AH85" s="33"/>
      <c r="AI85" s="33"/>
    </row>
    <row r="86" spans="1:35" ht="15.75">
      <c r="A86" s="37"/>
      <c r="B86" s="62" t="s">
        <v>348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63"/>
      <c r="R86" s="63"/>
      <c r="S86" s="63"/>
      <c r="T86" s="63"/>
      <c r="U86" s="39"/>
      <c r="V86" s="39"/>
      <c r="W86" s="39"/>
      <c r="X86" s="39"/>
      <c r="Y86" s="39"/>
      <c r="Z86" s="60"/>
      <c r="AA86" s="60"/>
      <c r="AB86" s="60"/>
      <c r="AC86" s="60"/>
      <c r="AD86" s="33"/>
      <c r="AE86" s="33"/>
      <c r="AF86" s="60"/>
      <c r="AG86" s="33"/>
      <c r="AH86" s="33"/>
      <c r="AI86" s="33"/>
    </row>
    <row r="87" spans="1:35" ht="47.25">
      <c r="A87" s="33"/>
      <c r="B87" s="39" t="s">
        <v>249</v>
      </c>
      <c r="C87" s="39"/>
      <c r="D87" s="39"/>
      <c r="E87" s="39"/>
      <c r="F87" s="39"/>
      <c r="G87" s="39"/>
      <c r="H87" s="39"/>
      <c r="I87" s="39"/>
      <c r="J87" s="39"/>
      <c r="K87" s="33">
        <v>1977</v>
      </c>
      <c r="L87" s="33">
        <v>25</v>
      </c>
      <c r="M87" s="33"/>
      <c r="N87" s="33" t="s">
        <v>428</v>
      </c>
      <c r="O87" s="40">
        <v>0.27</v>
      </c>
      <c r="P87" s="39"/>
      <c r="Q87" s="63">
        <f>R87+S87+T87</f>
        <v>0.425</v>
      </c>
      <c r="R87" s="63">
        <v>0.037</v>
      </c>
      <c r="S87" s="63">
        <v>0.075</v>
      </c>
      <c r="T87" s="40">
        <f>0.232+0.081</f>
        <v>0.313</v>
      </c>
      <c r="U87" s="39"/>
      <c r="V87" s="65"/>
      <c r="W87" s="63"/>
      <c r="X87" s="63"/>
      <c r="Y87" s="63"/>
      <c r="Z87" s="60"/>
      <c r="AA87" s="60"/>
      <c r="AB87" s="60"/>
      <c r="AC87" s="60"/>
      <c r="AD87" s="33">
        <v>2013</v>
      </c>
      <c r="AE87" s="33">
        <v>25</v>
      </c>
      <c r="AF87" s="60"/>
      <c r="AG87" s="33" t="s">
        <v>429</v>
      </c>
      <c r="AH87" s="40">
        <v>0.27</v>
      </c>
      <c r="AI87" s="33"/>
    </row>
    <row r="88" spans="1:35" ht="47.25">
      <c r="A88" s="33"/>
      <c r="B88" s="39" t="s">
        <v>430</v>
      </c>
      <c r="C88" s="39"/>
      <c r="D88" s="39"/>
      <c r="E88" s="39"/>
      <c r="F88" s="39"/>
      <c r="G88" s="39"/>
      <c r="H88" s="39"/>
      <c r="I88" s="39"/>
      <c r="J88" s="39"/>
      <c r="K88" s="33">
        <v>1972</v>
      </c>
      <c r="L88" s="33">
        <v>25</v>
      </c>
      <c r="M88" s="33"/>
      <c r="N88" s="33" t="s">
        <v>431</v>
      </c>
      <c r="O88" s="40">
        <v>0.6880000000000001</v>
      </c>
      <c r="P88" s="39"/>
      <c r="Q88" s="63">
        <f aca="true" t="shared" si="2" ref="Q88:Q96">R88+S88+T88</f>
        <v>0.956</v>
      </c>
      <c r="R88" s="63">
        <v>0.093</v>
      </c>
      <c r="S88" s="63">
        <v>0.191</v>
      </c>
      <c r="T88" s="40">
        <f>0.59+0.082</f>
        <v>0.6719999999999999</v>
      </c>
      <c r="U88" s="39"/>
      <c r="V88" s="65"/>
      <c r="W88" s="63"/>
      <c r="X88" s="63"/>
      <c r="Y88" s="63">
        <f>-Y90</f>
        <v>0</v>
      </c>
      <c r="Z88" s="60"/>
      <c r="AA88" s="60"/>
      <c r="AB88" s="60"/>
      <c r="AC88" s="60"/>
      <c r="AD88" s="33">
        <v>2013</v>
      </c>
      <c r="AE88" s="33">
        <v>25</v>
      </c>
      <c r="AF88" s="60"/>
      <c r="AG88" s="33" t="s">
        <v>432</v>
      </c>
      <c r="AH88" s="40">
        <v>0.69</v>
      </c>
      <c r="AI88" s="33"/>
    </row>
    <row r="89" spans="1:35" ht="47.25">
      <c r="A89" s="33"/>
      <c r="B89" s="39" t="s">
        <v>433</v>
      </c>
      <c r="C89" s="39"/>
      <c r="D89" s="39"/>
      <c r="E89" s="39"/>
      <c r="F89" s="39"/>
      <c r="G89" s="39"/>
      <c r="H89" s="39"/>
      <c r="I89" s="39"/>
      <c r="J89" s="39"/>
      <c r="K89" s="33">
        <v>1973</v>
      </c>
      <c r="L89" s="33">
        <v>25</v>
      </c>
      <c r="M89" s="33"/>
      <c r="N89" s="33" t="s">
        <v>434</v>
      </c>
      <c r="O89" s="40">
        <v>0.37</v>
      </c>
      <c r="P89" s="39"/>
      <c r="Q89" s="63">
        <f t="shared" si="2"/>
        <v>0.552</v>
      </c>
      <c r="R89" s="63">
        <v>0.05</v>
      </c>
      <c r="S89" s="63">
        <v>0.103</v>
      </c>
      <c r="T89" s="40">
        <f>0.317+0.082</f>
        <v>0.399</v>
      </c>
      <c r="U89" s="39"/>
      <c r="V89" s="65"/>
      <c r="W89" s="63"/>
      <c r="X89" s="63"/>
      <c r="Y89" s="63"/>
      <c r="Z89" s="60"/>
      <c r="AA89" s="60"/>
      <c r="AB89" s="60"/>
      <c r="AC89" s="60"/>
      <c r="AD89" s="33"/>
      <c r="AE89" s="33"/>
      <c r="AF89" s="60"/>
      <c r="AG89" s="33" t="s">
        <v>435</v>
      </c>
      <c r="AH89" s="40">
        <v>0.37</v>
      </c>
      <c r="AI89" s="33"/>
    </row>
    <row r="90" spans="1:35" ht="47.25">
      <c r="A90" s="33"/>
      <c r="B90" s="39" t="s">
        <v>436</v>
      </c>
      <c r="C90" s="39"/>
      <c r="D90" s="39"/>
      <c r="E90" s="39"/>
      <c r="F90" s="39"/>
      <c r="G90" s="39"/>
      <c r="H90" s="39"/>
      <c r="I90" s="39"/>
      <c r="J90" s="39"/>
      <c r="K90" s="33">
        <v>1962</v>
      </c>
      <c r="L90" s="33">
        <v>25</v>
      </c>
      <c r="M90" s="33"/>
      <c r="N90" s="33" t="s">
        <v>437</v>
      </c>
      <c r="O90" s="40">
        <v>0.55</v>
      </c>
      <c r="P90" s="39"/>
      <c r="Q90" s="63">
        <f t="shared" si="2"/>
        <v>0.7809999999999999</v>
      </c>
      <c r="R90" s="63">
        <v>0.074</v>
      </c>
      <c r="S90" s="63">
        <v>0.153</v>
      </c>
      <c r="T90" s="40">
        <f>0.472+0.082</f>
        <v>0.5539999999999999</v>
      </c>
      <c r="U90" s="39"/>
      <c r="V90" s="65"/>
      <c r="W90" s="63"/>
      <c r="X90" s="63"/>
      <c r="Y90" s="63"/>
      <c r="Z90" s="60"/>
      <c r="AA90" s="60"/>
      <c r="AB90" s="60"/>
      <c r="AC90" s="60"/>
      <c r="AD90" s="33"/>
      <c r="AE90" s="33"/>
      <c r="AF90" s="60"/>
      <c r="AG90" s="33" t="s">
        <v>435</v>
      </c>
      <c r="AH90" s="40">
        <v>0.55</v>
      </c>
      <c r="AI90" s="33"/>
    </row>
    <row r="91" spans="1:35" ht="47.25">
      <c r="A91" s="33"/>
      <c r="B91" s="39" t="s">
        <v>438</v>
      </c>
      <c r="C91" s="39"/>
      <c r="D91" s="39"/>
      <c r="E91" s="39"/>
      <c r="F91" s="39"/>
      <c r="G91" s="39"/>
      <c r="H91" s="39"/>
      <c r="I91" s="39"/>
      <c r="J91" s="39"/>
      <c r="K91" s="33">
        <v>1981</v>
      </c>
      <c r="L91" s="33">
        <v>25</v>
      </c>
      <c r="M91" s="33"/>
      <c r="N91" s="33" t="s">
        <v>439</v>
      </c>
      <c r="O91" s="40">
        <v>0.42</v>
      </c>
      <c r="P91" s="39"/>
      <c r="Q91" s="63">
        <f t="shared" si="2"/>
        <v>0.4</v>
      </c>
      <c r="R91" s="63">
        <v>0.049</v>
      </c>
      <c r="S91" s="63">
        <v>0.106</v>
      </c>
      <c r="T91" s="40">
        <v>0.245</v>
      </c>
      <c r="U91" s="39"/>
      <c r="V91" s="65"/>
      <c r="W91" s="63"/>
      <c r="X91" s="63"/>
      <c r="Y91" s="63"/>
      <c r="Z91" s="60"/>
      <c r="AA91" s="60"/>
      <c r="AB91" s="60"/>
      <c r="AC91" s="60"/>
      <c r="AD91" s="33">
        <v>2013</v>
      </c>
      <c r="AE91" s="33">
        <v>25</v>
      </c>
      <c r="AF91" s="60"/>
      <c r="AG91" s="33" t="s">
        <v>440</v>
      </c>
      <c r="AH91" s="40">
        <v>0.42</v>
      </c>
      <c r="AI91" s="33"/>
    </row>
    <row r="92" spans="1:35" ht="31.5">
      <c r="A92" s="33"/>
      <c r="B92" s="39" t="s">
        <v>441</v>
      </c>
      <c r="C92" s="39"/>
      <c r="D92" s="39"/>
      <c r="E92" s="39"/>
      <c r="F92" s="39"/>
      <c r="G92" s="39"/>
      <c r="H92" s="39"/>
      <c r="I92" s="39"/>
      <c r="J92" s="39"/>
      <c r="K92" s="33">
        <v>1963</v>
      </c>
      <c r="L92" s="33">
        <v>25</v>
      </c>
      <c r="M92" s="33"/>
      <c r="N92" s="33" t="s">
        <v>442</v>
      </c>
      <c r="O92" s="40">
        <v>0.03</v>
      </c>
      <c r="P92" s="39"/>
      <c r="Q92" s="63">
        <f t="shared" si="2"/>
        <v>0.024</v>
      </c>
      <c r="R92" s="63">
        <v>0.004</v>
      </c>
      <c r="S92" s="63">
        <v>0.006</v>
      </c>
      <c r="T92" s="40">
        <v>0.014</v>
      </c>
      <c r="U92" s="39"/>
      <c r="V92" s="65"/>
      <c r="W92" s="63"/>
      <c r="X92" s="63"/>
      <c r="Y92" s="63"/>
      <c r="Z92" s="60"/>
      <c r="AA92" s="60"/>
      <c r="AB92" s="60"/>
      <c r="AC92" s="60"/>
      <c r="AD92" s="33">
        <v>2013</v>
      </c>
      <c r="AE92" s="33">
        <v>25</v>
      </c>
      <c r="AF92" s="60"/>
      <c r="AG92" s="33" t="s">
        <v>443</v>
      </c>
      <c r="AH92" s="40">
        <v>0.03</v>
      </c>
      <c r="AI92" s="33"/>
    </row>
    <row r="93" spans="1:35" ht="47.25">
      <c r="A93" s="33"/>
      <c r="B93" s="39" t="s">
        <v>444</v>
      </c>
      <c r="C93" s="39"/>
      <c r="D93" s="39"/>
      <c r="E93" s="39"/>
      <c r="F93" s="39"/>
      <c r="G93" s="39"/>
      <c r="H93" s="39"/>
      <c r="I93" s="39"/>
      <c r="J93" s="39"/>
      <c r="K93" s="33">
        <v>1964</v>
      </c>
      <c r="L93" s="33">
        <v>25</v>
      </c>
      <c r="M93" s="33"/>
      <c r="N93" s="33" t="s">
        <v>445</v>
      </c>
      <c r="O93" s="40">
        <v>0.055</v>
      </c>
      <c r="P93" s="39"/>
      <c r="Q93" s="63">
        <f t="shared" si="2"/>
        <v>0.046</v>
      </c>
      <c r="R93" s="63">
        <v>0.006</v>
      </c>
      <c r="S93" s="63">
        <v>0.012</v>
      </c>
      <c r="T93" s="40">
        <v>0.028</v>
      </c>
      <c r="U93" s="39"/>
      <c r="V93" s="65"/>
      <c r="W93" s="63"/>
      <c r="X93" s="63"/>
      <c r="Y93" s="63"/>
      <c r="Z93" s="60"/>
      <c r="AA93" s="60"/>
      <c r="AB93" s="60"/>
      <c r="AC93" s="60"/>
      <c r="AD93" s="33">
        <v>2013</v>
      </c>
      <c r="AE93" s="33">
        <v>25</v>
      </c>
      <c r="AF93" s="60"/>
      <c r="AG93" s="33" t="s">
        <v>443</v>
      </c>
      <c r="AH93" s="40">
        <v>0.055</v>
      </c>
      <c r="AI93" s="33"/>
    </row>
    <row r="94" spans="1:35" ht="47.25">
      <c r="A94" s="33"/>
      <c r="B94" s="39" t="s">
        <v>446</v>
      </c>
      <c r="C94" s="39"/>
      <c r="D94" s="39"/>
      <c r="E94" s="39"/>
      <c r="F94" s="39"/>
      <c r="G94" s="39"/>
      <c r="H94" s="39"/>
      <c r="I94" s="39"/>
      <c r="J94" s="39"/>
      <c r="K94" s="33">
        <v>1963</v>
      </c>
      <c r="L94" s="33">
        <v>25</v>
      </c>
      <c r="M94" s="33"/>
      <c r="N94" s="33" t="s">
        <v>445</v>
      </c>
      <c r="O94" s="40">
        <v>0.115</v>
      </c>
      <c r="P94" s="39"/>
      <c r="Q94" s="63">
        <f t="shared" si="2"/>
        <v>0.093</v>
      </c>
      <c r="R94" s="63">
        <v>0.013</v>
      </c>
      <c r="S94" s="63">
        <v>0.024</v>
      </c>
      <c r="T94" s="40">
        <v>0.056</v>
      </c>
      <c r="U94" s="39"/>
      <c r="V94" s="65"/>
      <c r="W94" s="63"/>
      <c r="X94" s="63"/>
      <c r="Y94" s="63"/>
      <c r="Z94" s="60"/>
      <c r="AA94" s="60"/>
      <c r="AB94" s="60"/>
      <c r="AC94" s="60"/>
      <c r="AD94" s="33">
        <v>2013</v>
      </c>
      <c r="AE94" s="33">
        <v>25</v>
      </c>
      <c r="AF94" s="60"/>
      <c r="AG94" s="33" t="s">
        <v>443</v>
      </c>
      <c r="AH94" s="40">
        <v>0.115</v>
      </c>
      <c r="AI94" s="33"/>
    </row>
    <row r="95" spans="1:35" ht="47.25">
      <c r="A95" s="33"/>
      <c r="B95" s="39" t="s">
        <v>447</v>
      </c>
      <c r="C95" s="39"/>
      <c r="D95" s="39"/>
      <c r="E95" s="39"/>
      <c r="F95" s="39"/>
      <c r="G95" s="39"/>
      <c r="H95" s="39"/>
      <c r="I95" s="39"/>
      <c r="J95" s="39"/>
      <c r="K95" s="33">
        <v>1963</v>
      </c>
      <c r="L95" s="33">
        <v>25</v>
      </c>
      <c r="M95" s="33"/>
      <c r="N95" s="33" t="s">
        <v>445</v>
      </c>
      <c r="O95" s="40">
        <v>0.105</v>
      </c>
      <c r="P95" s="39"/>
      <c r="Q95" s="63">
        <f t="shared" si="2"/>
        <v>0.086</v>
      </c>
      <c r="R95" s="63">
        <v>0.012</v>
      </c>
      <c r="S95" s="63">
        <v>0.022</v>
      </c>
      <c r="T95" s="40">
        <v>0.052</v>
      </c>
      <c r="U95" s="39"/>
      <c r="V95" s="65"/>
      <c r="W95" s="63"/>
      <c r="X95" s="63"/>
      <c r="Y95" s="63"/>
      <c r="Z95" s="60"/>
      <c r="AA95" s="60"/>
      <c r="AB95" s="60"/>
      <c r="AC95" s="60"/>
      <c r="AD95" s="33">
        <v>2013</v>
      </c>
      <c r="AE95" s="33">
        <v>25</v>
      </c>
      <c r="AF95" s="60"/>
      <c r="AG95" s="33" t="s">
        <v>443</v>
      </c>
      <c r="AH95" s="40">
        <v>0.105</v>
      </c>
      <c r="AI95" s="33"/>
    </row>
    <row r="96" spans="1:35" ht="47.25">
      <c r="A96" s="33"/>
      <c r="B96" s="39" t="s">
        <v>448</v>
      </c>
      <c r="C96" s="39"/>
      <c r="D96" s="39"/>
      <c r="E96" s="39"/>
      <c r="F96" s="39"/>
      <c r="G96" s="39"/>
      <c r="H96" s="39"/>
      <c r="I96" s="39"/>
      <c r="J96" s="39"/>
      <c r="K96" s="33">
        <v>1963</v>
      </c>
      <c r="L96" s="33">
        <v>25</v>
      </c>
      <c r="M96" s="33"/>
      <c r="N96" s="33" t="s">
        <v>445</v>
      </c>
      <c r="O96" s="40">
        <v>0.03</v>
      </c>
      <c r="P96" s="39"/>
      <c r="Q96" s="63">
        <f t="shared" si="2"/>
        <v>0.024</v>
      </c>
      <c r="R96" s="63">
        <v>0.004</v>
      </c>
      <c r="S96" s="63">
        <v>0.006</v>
      </c>
      <c r="T96" s="40">
        <v>0.014</v>
      </c>
      <c r="U96" s="39"/>
      <c r="V96" s="65"/>
      <c r="W96" s="63"/>
      <c r="X96" s="63"/>
      <c r="Y96" s="63"/>
      <c r="Z96" s="60"/>
      <c r="AA96" s="60"/>
      <c r="AB96" s="60"/>
      <c r="AC96" s="60"/>
      <c r="AD96" s="33">
        <v>2013</v>
      </c>
      <c r="AE96" s="33">
        <v>25</v>
      </c>
      <c r="AF96" s="60"/>
      <c r="AG96" s="33" t="s">
        <v>443</v>
      </c>
      <c r="AH96" s="40">
        <v>0.03</v>
      </c>
      <c r="AI96" s="33"/>
    </row>
    <row r="97" spans="1:35" ht="15.75">
      <c r="A97" s="33"/>
      <c r="B97" s="30" t="s">
        <v>354</v>
      </c>
      <c r="C97" s="39"/>
      <c r="D97" s="39"/>
      <c r="E97" s="39"/>
      <c r="F97" s="39"/>
      <c r="G97" s="39"/>
      <c r="H97" s="39"/>
      <c r="I97" s="39"/>
      <c r="J97" s="39"/>
      <c r="K97" s="33"/>
      <c r="L97" s="33"/>
      <c r="M97" s="33"/>
      <c r="N97" s="33"/>
      <c r="O97" s="34">
        <f>SUM(O87:O96)</f>
        <v>2.633</v>
      </c>
      <c r="P97" s="35"/>
      <c r="Q97" s="65">
        <f>SUM(Q87:Q96)</f>
        <v>3.3869999999999996</v>
      </c>
      <c r="R97" s="65"/>
      <c r="S97" s="65"/>
      <c r="T97" s="34"/>
      <c r="U97" s="35"/>
      <c r="V97" s="65"/>
      <c r="W97" s="35"/>
      <c r="X97" s="35"/>
      <c r="Y97" s="35"/>
      <c r="Z97" s="73"/>
      <c r="AA97" s="73"/>
      <c r="AB97" s="73"/>
      <c r="AC97" s="73"/>
      <c r="AD97" s="30"/>
      <c r="AE97" s="30"/>
      <c r="AF97" s="73"/>
      <c r="AG97" s="30"/>
      <c r="AH97" s="34">
        <f>SUM(AH87:AH96)</f>
        <v>2.6350000000000002</v>
      </c>
      <c r="AI97" s="33"/>
    </row>
    <row r="98" spans="1:35" ht="15.75">
      <c r="A98" s="33"/>
      <c r="B98" s="62" t="s">
        <v>375</v>
      </c>
      <c r="C98" s="39"/>
      <c r="D98" s="39"/>
      <c r="E98" s="39"/>
      <c r="F98" s="39"/>
      <c r="G98" s="39"/>
      <c r="H98" s="39"/>
      <c r="I98" s="39"/>
      <c r="J98" s="39"/>
      <c r="K98" s="33"/>
      <c r="L98" s="33"/>
      <c r="M98" s="33"/>
      <c r="N98" s="33"/>
      <c r="O98" s="67"/>
      <c r="P98" s="35"/>
      <c r="Q98" s="65"/>
      <c r="R98" s="63"/>
      <c r="S98" s="63"/>
      <c r="T98" s="40"/>
      <c r="U98" s="39"/>
      <c r="V98" s="35"/>
      <c r="W98" s="39"/>
      <c r="X98" s="39"/>
      <c r="Y98" s="39"/>
      <c r="Z98" s="60"/>
      <c r="AA98" s="60"/>
      <c r="AB98" s="60"/>
      <c r="AC98" s="60"/>
      <c r="AD98" s="33"/>
      <c r="AE98" s="33"/>
      <c r="AF98" s="60"/>
      <c r="AG98" s="33"/>
      <c r="AH98" s="67"/>
      <c r="AI98" s="33"/>
    </row>
    <row r="99" spans="1:35" ht="47.25">
      <c r="A99" s="33"/>
      <c r="B99" s="39" t="s">
        <v>449</v>
      </c>
      <c r="C99" s="39"/>
      <c r="D99" s="39"/>
      <c r="E99" s="39"/>
      <c r="F99" s="39"/>
      <c r="G99" s="39"/>
      <c r="H99" s="39"/>
      <c r="I99" s="39"/>
      <c r="J99" s="39"/>
      <c r="K99" s="33">
        <v>1978</v>
      </c>
      <c r="L99" s="33">
        <v>25</v>
      </c>
      <c r="M99" s="33"/>
      <c r="N99" s="33" t="s">
        <v>450</v>
      </c>
      <c r="O99" s="40">
        <v>0.4</v>
      </c>
      <c r="P99" s="39"/>
      <c r="Q99" s="63">
        <f>T99+S99+R99</f>
        <v>0.329</v>
      </c>
      <c r="R99" s="63">
        <v>0.047</v>
      </c>
      <c r="S99" s="63">
        <v>0.084</v>
      </c>
      <c r="T99" s="40">
        <v>0.198</v>
      </c>
      <c r="U99" s="39"/>
      <c r="V99" s="65"/>
      <c r="W99" s="63"/>
      <c r="X99" s="63"/>
      <c r="Y99" s="63"/>
      <c r="Z99" s="60"/>
      <c r="AA99" s="60"/>
      <c r="AB99" s="60"/>
      <c r="AC99" s="60"/>
      <c r="AD99" s="33">
        <v>2013</v>
      </c>
      <c r="AE99" s="33">
        <v>25</v>
      </c>
      <c r="AF99" s="60"/>
      <c r="AG99" s="33" t="s">
        <v>451</v>
      </c>
      <c r="AH99" s="40">
        <v>0.4</v>
      </c>
      <c r="AI99" s="33"/>
    </row>
    <row r="100" spans="1:35" ht="15.75">
      <c r="A100" s="616"/>
      <c r="B100" s="62" t="s">
        <v>452</v>
      </c>
      <c r="C100" s="39"/>
      <c r="D100" s="39"/>
      <c r="E100" s="39"/>
      <c r="F100" s="39"/>
      <c r="G100" s="39"/>
      <c r="H100" s="39"/>
      <c r="I100" s="39"/>
      <c r="J100" s="39"/>
      <c r="K100" s="33"/>
      <c r="L100" s="33"/>
      <c r="M100" s="33"/>
      <c r="N100" s="33"/>
      <c r="O100" s="40"/>
      <c r="P100" s="39"/>
      <c r="Q100" s="63"/>
      <c r="R100" s="63"/>
      <c r="S100" s="63"/>
      <c r="T100" s="40"/>
      <c r="U100" s="39"/>
      <c r="V100" s="35"/>
      <c r="W100" s="39"/>
      <c r="X100" s="39"/>
      <c r="Y100" s="39"/>
      <c r="Z100" s="60"/>
      <c r="AA100" s="60"/>
      <c r="AB100" s="60"/>
      <c r="AC100" s="60"/>
      <c r="AD100" s="33"/>
      <c r="AE100" s="33"/>
      <c r="AF100" s="60"/>
      <c r="AG100" s="33"/>
      <c r="AH100" s="40"/>
      <c r="AI100" s="33"/>
    </row>
    <row r="101" spans="1:35" ht="31.5">
      <c r="A101" s="33"/>
      <c r="B101" s="39" t="s">
        <v>453</v>
      </c>
      <c r="C101" s="39"/>
      <c r="D101" s="39"/>
      <c r="E101" s="39"/>
      <c r="F101" s="39"/>
      <c r="G101" s="39"/>
      <c r="H101" s="39"/>
      <c r="I101" s="39"/>
      <c r="J101" s="39"/>
      <c r="K101" s="33">
        <v>1979</v>
      </c>
      <c r="L101" s="33">
        <v>25</v>
      </c>
      <c r="M101" s="33"/>
      <c r="N101" s="33" t="s">
        <v>454</v>
      </c>
      <c r="O101" s="40">
        <v>0.695</v>
      </c>
      <c r="P101" s="39"/>
      <c r="Q101" s="63">
        <f>T101+S101+R101</f>
        <v>0.884</v>
      </c>
      <c r="R101" s="63">
        <v>0.094</v>
      </c>
      <c r="S101" s="63">
        <v>0.193</v>
      </c>
      <c r="T101" s="40">
        <v>0.597</v>
      </c>
      <c r="U101" s="39"/>
      <c r="V101" s="65"/>
      <c r="W101" s="63"/>
      <c r="X101" s="63"/>
      <c r="Y101" s="63"/>
      <c r="Z101" s="60"/>
      <c r="AA101" s="60"/>
      <c r="AB101" s="60"/>
      <c r="AC101" s="60"/>
      <c r="AD101" s="33">
        <v>2013</v>
      </c>
      <c r="AE101" s="33">
        <v>25</v>
      </c>
      <c r="AF101" s="33"/>
      <c r="AG101" s="33" t="s">
        <v>455</v>
      </c>
      <c r="AH101" s="40">
        <v>0.695</v>
      </c>
      <c r="AI101" s="33"/>
    </row>
    <row r="102" spans="1:35" ht="15.75">
      <c r="A102" s="33"/>
      <c r="B102" s="30" t="s">
        <v>360</v>
      </c>
      <c r="C102" s="39"/>
      <c r="D102" s="39"/>
      <c r="E102" s="39"/>
      <c r="F102" s="39"/>
      <c r="G102" s="39"/>
      <c r="H102" s="39"/>
      <c r="I102" s="39"/>
      <c r="J102" s="39"/>
      <c r="K102" s="33"/>
      <c r="L102" s="33"/>
      <c r="M102" s="33"/>
      <c r="N102" s="33"/>
      <c r="O102" s="34">
        <f>O99+O101</f>
        <v>1.095</v>
      </c>
      <c r="P102" s="35"/>
      <c r="Q102" s="65">
        <f>Q99+Q101</f>
        <v>1.213</v>
      </c>
      <c r="R102" s="65"/>
      <c r="S102" s="65"/>
      <c r="T102" s="34"/>
      <c r="U102" s="35"/>
      <c r="V102" s="65"/>
      <c r="W102" s="35"/>
      <c r="X102" s="35"/>
      <c r="Y102" s="35"/>
      <c r="Z102" s="73"/>
      <c r="AA102" s="73"/>
      <c r="AB102" s="73"/>
      <c r="AC102" s="73"/>
      <c r="AD102" s="30"/>
      <c r="AE102" s="30"/>
      <c r="AF102" s="60"/>
      <c r="AG102" s="30"/>
      <c r="AH102" s="34">
        <f>AH99+AH101</f>
        <v>1.095</v>
      </c>
      <c r="AI102" s="33"/>
    </row>
    <row r="103" spans="1:35" ht="15.75">
      <c r="A103" s="33"/>
      <c r="B103" s="30" t="s">
        <v>362</v>
      </c>
      <c r="C103" s="39"/>
      <c r="D103" s="39"/>
      <c r="E103" s="39"/>
      <c r="F103" s="39"/>
      <c r="G103" s="39"/>
      <c r="H103" s="39"/>
      <c r="I103" s="39"/>
      <c r="J103" s="39"/>
      <c r="K103" s="33"/>
      <c r="L103" s="33"/>
      <c r="M103" s="33"/>
      <c r="N103" s="33"/>
      <c r="O103" s="34">
        <f>O97+O102</f>
        <v>3.7279999999999998</v>
      </c>
      <c r="P103" s="39"/>
      <c r="Q103" s="65">
        <f>Q97+Q102</f>
        <v>4.6</v>
      </c>
      <c r="R103" s="63"/>
      <c r="S103" s="63"/>
      <c r="T103" s="40"/>
      <c r="U103" s="39"/>
      <c r="V103" s="65"/>
      <c r="W103" s="39"/>
      <c r="X103" s="39"/>
      <c r="Y103" s="39"/>
      <c r="Z103" s="60"/>
      <c r="AA103" s="60"/>
      <c r="AB103" s="60"/>
      <c r="AC103" s="60"/>
      <c r="AD103" s="33"/>
      <c r="AE103" s="33"/>
      <c r="AF103" s="33"/>
      <c r="AG103" s="33"/>
      <c r="AH103" s="34">
        <f>AH97+AH102</f>
        <v>3.7300000000000004</v>
      </c>
      <c r="AI103" s="33"/>
    </row>
    <row r="104" spans="1:35" ht="18.75">
      <c r="A104" s="37" t="s">
        <v>290</v>
      </c>
      <c r="B104" s="617" t="s">
        <v>291</v>
      </c>
      <c r="C104" s="39"/>
      <c r="D104" s="39"/>
      <c r="E104" s="39"/>
      <c r="F104" s="39"/>
      <c r="G104" s="39"/>
      <c r="H104" s="39"/>
      <c r="I104" s="39"/>
      <c r="J104" s="39"/>
      <c r="K104" s="33"/>
      <c r="L104" s="80"/>
      <c r="M104" s="80"/>
      <c r="N104" s="33"/>
      <c r="O104" s="67"/>
      <c r="P104" s="39"/>
      <c r="Q104" s="65"/>
      <c r="R104" s="63"/>
      <c r="S104" s="63"/>
      <c r="T104" s="40"/>
      <c r="U104" s="39"/>
      <c r="V104" s="39"/>
      <c r="W104" s="39"/>
      <c r="X104" s="39"/>
      <c r="Y104" s="39"/>
      <c r="Z104" s="60"/>
      <c r="AA104" s="60"/>
      <c r="AB104" s="60"/>
      <c r="AC104" s="60"/>
      <c r="AD104" s="33"/>
      <c r="AE104" s="33"/>
      <c r="AF104" s="75"/>
      <c r="AG104" s="33"/>
      <c r="AH104" s="80"/>
      <c r="AI104" s="33"/>
    </row>
    <row r="105" spans="1:35" ht="15.75">
      <c r="A105" s="616"/>
      <c r="B105" s="62" t="s">
        <v>348</v>
      </c>
      <c r="C105" s="39"/>
      <c r="D105" s="39"/>
      <c r="E105" s="39"/>
      <c r="F105" s="39"/>
      <c r="G105" s="39"/>
      <c r="H105" s="39"/>
      <c r="I105" s="39"/>
      <c r="J105" s="39"/>
      <c r="K105" s="33"/>
      <c r="L105" s="33"/>
      <c r="M105" s="33"/>
      <c r="N105" s="33"/>
      <c r="O105" s="33"/>
      <c r="P105" s="39"/>
      <c r="Q105" s="40"/>
      <c r="R105" s="63"/>
      <c r="S105" s="63"/>
      <c r="T105" s="40"/>
      <c r="U105" s="39"/>
      <c r="V105" s="39"/>
      <c r="W105" s="39"/>
      <c r="X105" s="39"/>
      <c r="Y105" s="39"/>
      <c r="Z105" s="60"/>
      <c r="AA105" s="60"/>
      <c r="AB105" s="60"/>
      <c r="AC105" s="60"/>
      <c r="AD105" s="33"/>
      <c r="AE105" s="33"/>
      <c r="AF105" s="60"/>
      <c r="AG105" s="33"/>
      <c r="AH105" s="33"/>
      <c r="AI105" s="33"/>
    </row>
    <row r="106" spans="1:35" ht="78.75">
      <c r="A106" s="33"/>
      <c r="B106" s="39" t="s">
        <v>456</v>
      </c>
      <c r="C106" s="39"/>
      <c r="D106" s="39"/>
      <c r="E106" s="39"/>
      <c r="F106" s="39"/>
      <c r="G106" s="39"/>
      <c r="H106" s="76"/>
      <c r="I106" s="76"/>
      <c r="J106" s="39"/>
      <c r="K106" s="33" t="s">
        <v>457</v>
      </c>
      <c r="L106" s="33" t="s">
        <v>458</v>
      </c>
      <c r="M106" s="33" t="s">
        <v>459</v>
      </c>
      <c r="N106" s="33" t="s">
        <v>460</v>
      </c>
      <c r="O106" s="40">
        <v>0.76</v>
      </c>
      <c r="P106" s="39"/>
      <c r="Q106" s="63">
        <f>R106+S106+T106</f>
        <v>0.53</v>
      </c>
      <c r="R106" s="63">
        <v>0.076</v>
      </c>
      <c r="S106" s="63">
        <v>0.134</v>
      </c>
      <c r="T106" s="40">
        <v>0.32</v>
      </c>
      <c r="U106" s="39"/>
      <c r="V106" s="63"/>
      <c r="W106" s="40"/>
      <c r="X106" s="63"/>
      <c r="Y106" s="63"/>
      <c r="Z106" s="60"/>
      <c r="AA106" s="60"/>
      <c r="AB106" s="60"/>
      <c r="AC106" s="60"/>
      <c r="AD106" s="33">
        <v>2013</v>
      </c>
      <c r="AE106" s="33">
        <v>15</v>
      </c>
      <c r="AF106" s="33" t="s">
        <v>461</v>
      </c>
      <c r="AG106" s="33" t="s">
        <v>462</v>
      </c>
      <c r="AH106" s="40">
        <v>0.76</v>
      </c>
      <c r="AI106" s="33"/>
    </row>
    <row r="107" spans="1:35" ht="63">
      <c r="A107" s="33"/>
      <c r="B107" s="39" t="s">
        <v>463</v>
      </c>
      <c r="C107" s="39"/>
      <c r="D107" s="39"/>
      <c r="E107" s="39"/>
      <c r="F107" s="39"/>
      <c r="G107" s="39"/>
      <c r="H107" s="76"/>
      <c r="I107" s="76"/>
      <c r="J107" s="39"/>
      <c r="K107" s="33">
        <v>1966</v>
      </c>
      <c r="L107" s="33">
        <v>7</v>
      </c>
      <c r="M107" s="33" t="s">
        <v>464</v>
      </c>
      <c r="N107" s="33" t="s">
        <v>460</v>
      </c>
      <c r="O107" s="40">
        <v>0.21</v>
      </c>
      <c r="P107" s="39"/>
      <c r="Q107" s="63">
        <f>R107+S107+T107</f>
        <v>0.147</v>
      </c>
      <c r="R107" s="63">
        <v>0.021</v>
      </c>
      <c r="S107" s="63">
        <v>0.037</v>
      </c>
      <c r="T107" s="40">
        <v>0.089</v>
      </c>
      <c r="U107" s="39"/>
      <c r="V107" s="63"/>
      <c r="W107" s="40"/>
      <c r="X107" s="63"/>
      <c r="Y107" s="63"/>
      <c r="Z107" s="60"/>
      <c r="AA107" s="60"/>
      <c r="AB107" s="60"/>
      <c r="AC107" s="60"/>
      <c r="AD107" s="33">
        <v>2013</v>
      </c>
      <c r="AE107" s="33">
        <v>15</v>
      </c>
      <c r="AF107" s="33" t="s">
        <v>461</v>
      </c>
      <c r="AG107" s="33" t="s">
        <v>462</v>
      </c>
      <c r="AH107" s="40">
        <v>0.21</v>
      </c>
      <c r="AI107" s="33"/>
    </row>
    <row r="108" spans="1:35" ht="63">
      <c r="A108" s="33"/>
      <c r="B108" s="39" t="s">
        <v>465</v>
      </c>
      <c r="C108" s="39"/>
      <c r="D108" s="39"/>
      <c r="E108" s="39"/>
      <c r="F108" s="39"/>
      <c r="G108" s="39"/>
      <c r="H108" s="76"/>
      <c r="I108" s="76"/>
      <c r="J108" s="39"/>
      <c r="K108" s="33" t="s">
        <v>466</v>
      </c>
      <c r="L108" s="33" t="s">
        <v>467</v>
      </c>
      <c r="M108" s="33" t="s">
        <v>468</v>
      </c>
      <c r="N108" s="33" t="s">
        <v>469</v>
      </c>
      <c r="O108" s="40">
        <v>0.62</v>
      </c>
      <c r="P108" s="39"/>
      <c r="Q108" s="63">
        <f aca="true" t="shared" si="3" ref="Q108:Q119">R108+S108+T108</f>
        <v>0.432</v>
      </c>
      <c r="R108" s="63">
        <v>0.062</v>
      </c>
      <c r="S108" s="63">
        <v>0.109</v>
      </c>
      <c r="T108" s="40">
        <v>0.261</v>
      </c>
      <c r="U108" s="39"/>
      <c r="V108" s="63"/>
      <c r="W108" s="40"/>
      <c r="X108" s="63"/>
      <c r="Y108" s="63"/>
      <c r="Z108" s="60"/>
      <c r="AA108" s="60"/>
      <c r="AB108" s="60"/>
      <c r="AC108" s="60"/>
      <c r="AD108" s="33">
        <v>2013</v>
      </c>
      <c r="AE108" s="33">
        <v>15</v>
      </c>
      <c r="AF108" s="33" t="s">
        <v>461</v>
      </c>
      <c r="AG108" s="33" t="s">
        <v>462</v>
      </c>
      <c r="AH108" s="40">
        <v>0.62</v>
      </c>
      <c r="AI108" s="33"/>
    </row>
    <row r="109" spans="1:35" ht="78.75">
      <c r="A109" s="33"/>
      <c r="B109" s="39" t="s">
        <v>470</v>
      </c>
      <c r="C109" s="39"/>
      <c r="D109" s="39"/>
      <c r="E109" s="39"/>
      <c r="F109" s="39"/>
      <c r="G109" s="39"/>
      <c r="H109" s="76"/>
      <c r="I109" s="76"/>
      <c r="J109" s="39"/>
      <c r="K109" s="33" t="s">
        <v>471</v>
      </c>
      <c r="L109" s="33" t="s">
        <v>472</v>
      </c>
      <c r="M109" s="33" t="s">
        <v>473</v>
      </c>
      <c r="N109" s="33" t="s">
        <v>474</v>
      </c>
      <c r="O109" s="40">
        <v>0.955</v>
      </c>
      <c r="P109" s="39"/>
      <c r="Q109" s="63">
        <f t="shared" si="3"/>
        <v>0.667</v>
      </c>
      <c r="R109" s="63">
        <v>0.096</v>
      </c>
      <c r="S109" s="63">
        <v>0.169</v>
      </c>
      <c r="T109" s="40">
        <v>0.402</v>
      </c>
      <c r="U109" s="39"/>
      <c r="V109" s="63"/>
      <c r="W109" s="40"/>
      <c r="X109" s="63"/>
      <c r="Y109" s="63"/>
      <c r="Z109" s="60"/>
      <c r="AA109" s="60"/>
      <c r="AB109" s="60"/>
      <c r="AC109" s="60"/>
      <c r="AD109" s="33">
        <v>2013</v>
      </c>
      <c r="AE109" s="33">
        <v>15</v>
      </c>
      <c r="AF109" s="33" t="s">
        <v>461</v>
      </c>
      <c r="AG109" s="33" t="s">
        <v>462</v>
      </c>
      <c r="AH109" s="40">
        <v>0.955</v>
      </c>
      <c r="AI109" s="33"/>
    </row>
    <row r="110" spans="1:35" ht="63">
      <c r="A110" s="33"/>
      <c r="B110" s="39" t="s">
        <v>475</v>
      </c>
      <c r="C110" s="39"/>
      <c r="D110" s="39"/>
      <c r="E110" s="39"/>
      <c r="F110" s="39"/>
      <c r="G110" s="39"/>
      <c r="H110" s="76"/>
      <c r="I110" s="76"/>
      <c r="J110" s="39"/>
      <c r="K110" s="33" t="s">
        <v>476</v>
      </c>
      <c r="L110" s="33" t="s">
        <v>477</v>
      </c>
      <c r="M110" s="33" t="s">
        <v>478</v>
      </c>
      <c r="N110" s="33" t="s">
        <v>460</v>
      </c>
      <c r="O110" s="40">
        <v>0.805</v>
      </c>
      <c r="P110" s="39"/>
      <c r="Q110" s="63">
        <f t="shared" si="3"/>
        <v>0.565</v>
      </c>
      <c r="R110" s="63">
        <v>0.082</v>
      </c>
      <c r="S110" s="63">
        <v>0.143</v>
      </c>
      <c r="T110" s="40">
        <v>0.34</v>
      </c>
      <c r="U110" s="39"/>
      <c r="V110" s="63"/>
      <c r="W110" s="40"/>
      <c r="X110" s="63"/>
      <c r="Y110" s="63"/>
      <c r="Z110" s="60"/>
      <c r="AA110" s="60"/>
      <c r="AB110" s="60"/>
      <c r="AC110" s="60"/>
      <c r="AD110" s="33">
        <v>2013</v>
      </c>
      <c r="AE110" s="33">
        <v>15</v>
      </c>
      <c r="AF110" s="33" t="s">
        <v>461</v>
      </c>
      <c r="AG110" s="33" t="s">
        <v>462</v>
      </c>
      <c r="AH110" s="40">
        <v>0.805</v>
      </c>
      <c r="AI110" s="33"/>
    </row>
    <row r="111" spans="1:35" ht="63">
      <c r="A111" s="33"/>
      <c r="B111" s="39" t="s">
        <v>479</v>
      </c>
      <c r="C111" s="39"/>
      <c r="D111" s="39"/>
      <c r="E111" s="39"/>
      <c r="F111" s="39"/>
      <c r="G111" s="39"/>
      <c r="H111" s="76"/>
      <c r="I111" s="76"/>
      <c r="J111" s="39"/>
      <c r="K111" s="33" t="s">
        <v>480</v>
      </c>
      <c r="L111" s="33">
        <v>7</v>
      </c>
      <c r="M111" s="33" t="s">
        <v>481</v>
      </c>
      <c r="N111" s="33" t="s">
        <v>460</v>
      </c>
      <c r="O111" s="40">
        <v>0.34</v>
      </c>
      <c r="P111" s="39"/>
      <c r="Q111" s="63">
        <f t="shared" si="3"/>
        <v>0.239</v>
      </c>
      <c r="R111" s="63">
        <v>0.035</v>
      </c>
      <c r="S111" s="63">
        <v>0.061</v>
      </c>
      <c r="T111" s="40">
        <v>0.143</v>
      </c>
      <c r="U111" s="39"/>
      <c r="V111" s="63"/>
      <c r="W111" s="40"/>
      <c r="X111" s="63"/>
      <c r="Y111" s="63"/>
      <c r="Z111" s="60"/>
      <c r="AA111" s="60"/>
      <c r="AB111" s="60"/>
      <c r="AC111" s="60"/>
      <c r="AD111" s="33">
        <v>2013</v>
      </c>
      <c r="AE111" s="33">
        <v>15</v>
      </c>
      <c r="AF111" s="33" t="s">
        <v>461</v>
      </c>
      <c r="AG111" s="33" t="s">
        <v>462</v>
      </c>
      <c r="AH111" s="40">
        <v>0.34</v>
      </c>
      <c r="AI111" s="33"/>
    </row>
    <row r="112" spans="1:35" ht="63">
      <c r="A112" s="33"/>
      <c r="B112" s="39" t="s">
        <v>482</v>
      </c>
      <c r="C112" s="39"/>
      <c r="D112" s="39"/>
      <c r="E112" s="39"/>
      <c r="F112" s="39"/>
      <c r="G112" s="39"/>
      <c r="H112" s="76"/>
      <c r="I112" s="76"/>
      <c r="J112" s="39"/>
      <c r="K112" s="33" t="s">
        <v>483</v>
      </c>
      <c r="L112" s="33">
        <v>7</v>
      </c>
      <c r="M112" s="33" t="s">
        <v>484</v>
      </c>
      <c r="N112" s="33" t="s">
        <v>460</v>
      </c>
      <c r="O112" s="40">
        <v>2.205</v>
      </c>
      <c r="P112" s="39"/>
      <c r="Q112" s="63">
        <f t="shared" si="3"/>
        <v>1.545</v>
      </c>
      <c r="R112" s="63">
        <v>0.224</v>
      </c>
      <c r="S112" s="63">
        <v>0.391</v>
      </c>
      <c r="T112" s="40">
        <v>0.93</v>
      </c>
      <c r="U112" s="39"/>
      <c r="V112" s="63"/>
      <c r="W112" s="40"/>
      <c r="X112" s="63"/>
      <c r="Y112" s="63"/>
      <c r="Z112" s="60"/>
      <c r="AA112" s="60"/>
      <c r="AB112" s="60"/>
      <c r="AC112" s="60"/>
      <c r="AD112" s="33">
        <v>2013</v>
      </c>
      <c r="AE112" s="33">
        <v>15</v>
      </c>
      <c r="AF112" s="33" t="s">
        <v>461</v>
      </c>
      <c r="AG112" s="33" t="s">
        <v>462</v>
      </c>
      <c r="AH112" s="40">
        <v>2.205</v>
      </c>
      <c r="AI112" s="33"/>
    </row>
    <row r="113" spans="1:35" ht="63">
      <c r="A113" s="33"/>
      <c r="B113" s="39" t="s">
        <v>485</v>
      </c>
      <c r="C113" s="39"/>
      <c r="D113" s="39"/>
      <c r="E113" s="39"/>
      <c r="F113" s="39"/>
      <c r="G113" s="39"/>
      <c r="H113" s="76"/>
      <c r="I113" s="76"/>
      <c r="J113" s="39"/>
      <c r="K113" s="33" t="s">
        <v>486</v>
      </c>
      <c r="L113" s="33">
        <v>7</v>
      </c>
      <c r="M113" s="33" t="s">
        <v>481</v>
      </c>
      <c r="N113" s="33" t="s">
        <v>460</v>
      </c>
      <c r="O113" s="40">
        <v>1.57</v>
      </c>
      <c r="P113" s="39"/>
      <c r="Q113" s="63">
        <f t="shared" si="3"/>
        <v>1.1</v>
      </c>
      <c r="R113" s="63">
        <v>0.159</v>
      </c>
      <c r="S113" s="63">
        <v>0.279</v>
      </c>
      <c r="T113" s="40">
        <v>0.662</v>
      </c>
      <c r="U113" s="39"/>
      <c r="V113" s="63"/>
      <c r="W113" s="40"/>
      <c r="X113" s="63"/>
      <c r="Y113" s="63"/>
      <c r="Z113" s="60"/>
      <c r="AA113" s="60"/>
      <c r="AB113" s="60"/>
      <c r="AC113" s="60"/>
      <c r="AD113" s="33">
        <v>2013</v>
      </c>
      <c r="AE113" s="33">
        <v>15</v>
      </c>
      <c r="AF113" s="33" t="s">
        <v>461</v>
      </c>
      <c r="AG113" s="33" t="s">
        <v>462</v>
      </c>
      <c r="AH113" s="40">
        <v>1.57</v>
      </c>
      <c r="AI113" s="33"/>
    </row>
    <row r="114" spans="1:35" ht="63">
      <c r="A114" s="33"/>
      <c r="B114" s="39" t="s">
        <v>487</v>
      </c>
      <c r="C114" s="39"/>
      <c r="D114" s="39"/>
      <c r="E114" s="39"/>
      <c r="F114" s="39"/>
      <c r="G114" s="39"/>
      <c r="H114" s="76"/>
      <c r="I114" s="76"/>
      <c r="J114" s="39"/>
      <c r="K114" s="33" t="s">
        <v>488</v>
      </c>
      <c r="L114" s="33">
        <v>7</v>
      </c>
      <c r="M114" s="33" t="s">
        <v>481</v>
      </c>
      <c r="N114" s="33" t="s">
        <v>489</v>
      </c>
      <c r="O114" s="40">
        <v>0.805</v>
      </c>
      <c r="P114" s="39"/>
      <c r="Q114" s="63">
        <f t="shared" si="3"/>
        <v>0.565</v>
      </c>
      <c r="R114" s="63">
        <v>0.082</v>
      </c>
      <c r="S114" s="63">
        <v>0.143</v>
      </c>
      <c r="T114" s="40">
        <v>0.34</v>
      </c>
      <c r="U114" s="39"/>
      <c r="V114" s="63"/>
      <c r="W114" s="40"/>
      <c r="X114" s="63"/>
      <c r="Y114" s="63"/>
      <c r="Z114" s="60"/>
      <c r="AA114" s="60"/>
      <c r="AB114" s="60"/>
      <c r="AC114" s="60"/>
      <c r="AD114" s="33">
        <v>2013</v>
      </c>
      <c r="AE114" s="33">
        <v>15</v>
      </c>
      <c r="AF114" s="33" t="s">
        <v>461</v>
      </c>
      <c r="AG114" s="33" t="s">
        <v>462</v>
      </c>
      <c r="AH114" s="40">
        <v>0.805</v>
      </c>
      <c r="AI114" s="33"/>
    </row>
    <row r="115" spans="1:35" ht="63">
      <c r="A115" s="33"/>
      <c r="B115" s="39" t="s">
        <v>490</v>
      </c>
      <c r="C115" s="39"/>
      <c r="D115" s="39"/>
      <c r="E115" s="39"/>
      <c r="F115" s="39"/>
      <c r="G115" s="39"/>
      <c r="H115" s="76"/>
      <c r="I115" s="76"/>
      <c r="J115" s="39"/>
      <c r="K115" s="33">
        <v>1965</v>
      </c>
      <c r="L115" s="33">
        <v>7</v>
      </c>
      <c r="M115" s="33" t="s">
        <v>481</v>
      </c>
      <c r="N115" s="33" t="s">
        <v>460</v>
      </c>
      <c r="O115" s="40">
        <v>0.319</v>
      </c>
      <c r="P115" s="39"/>
      <c r="Q115" s="63">
        <f t="shared" si="3"/>
        <v>0.225</v>
      </c>
      <c r="R115" s="63">
        <v>0.033</v>
      </c>
      <c r="S115" s="63">
        <v>0.057</v>
      </c>
      <c r="T115" s="40">
        <v>0.135</v>
      </c>
      <c r="U115" s="39"/>
      <c r="V115" s="63"/>
      <c r="W115" s="40"/>
      <c r="X115" s="63"/>
      <c r="Y115" s="63"/>
      <c r="Z115" s="60"/>
      <c r="AA115" s="60"/>
      <c r="AB115" s="60"/>
      <c r="AC115" s="60"/>
      <c r="AD115" s="33">
        <v>2013</v>
      </c>
      <c r="AE115" s="33">
        <v>15</v>
      </c>
      <c r="AF115" s="33" t="s">
        <v>461</v>
      </c>
      <c r="AG115" s="33" t="s">
        <v>462</v>
      </c>
      <c r="AH115" s="40">
        <v>0.319</v>
      </c>
      <c r="AI115" s="33"/>
    </row>
    <row r="116" spans="1:35" ht="63">
      <c r="A116" s="33"/>
      <c r="B116" s="39" t="s">
        <v>491</v>
      </c>
      <c r="C116" s="39"/>
      <c r="D116" s="39"/>
      <c r="E116" s="39"/>
      <c r="F116" s="39"/>
      <c r="G116" s="39"/>
      <c r="H116" s="76"/>
      <c r="I116" s="76"/>
      <c r="J116" s="39"/>
      <c r="K116" s="33">
        <v>1958</v>
      </c>
      <c r="L116" s="33">
        <v>15</v>
      </c>
      <c r="M116" s="33" t="s">
        <v>492</v>
      </c>
      <c r="N116" s="33" t="s">
        <v>460</v>
      </c>
      <c r="O116" s="40">
        <v>0.44</v>
      </c>
      <c r="P116" s="39"/>
      <c r="Q116" s="63">
        <f t="shared" si="3"/>
        <v>0.308</v>
      </c>
      <c r="R116" s="63">
        <v>0.045</v>
      </c>
      <c r="S116" s="63">
        <v>0.078</v>
      </c>
      <c r="T116" s="40">
        <v>0.185</v>
      </c>
      <c r="U116" s="39"/>
      <c r="V116" s="63"/>
      <c r="W116" s="40"/>
      <c r="X116" s="63"/>
      <c r="Y116" s="63"/>
      <c r="Z116" s="60"/>
      <c r="AA116" s="60"/>
      <c r="AB116" s="60"/>
      <c r="AC116" s="60"/>
      <c r="AD116" s="33">
        <v>2013</v>
      </c>
      <c r="AE116" s="33">
        <v>15</v>
      </c>
      <c r="AF116" s="33" t="s">
        <v>461</v>
      </c>
      <c r="AG116" s="33" t="s">
        <v>462</v>
      </c>
      <c r="AH116" s="40">
        <v>0.44</v>
      </c>
      <c r="AI116" s="33"/>
    </row>
    <row r="117" spans="1:35" ht="63">
      <c r="A117" s="33"/>
      <c r="B117" s="39" t="s">
        <v>493</v>
      </c>
      <c r="C117" s="39"/>
      <c r="D117" s="39"/>
      <c r="E117" s="39"/>
      <c r="F117" s="39"/>
      <c r="G117" s="39"/>
      <c r="H117" s="76"/>
      <c r="I117" s="76"/>
      <c r="J117" s="39"/>
      <c r="K117" s="33">
        <v>1966</v>
      </c>
      <c r="L117" s="33">
        <v>7</v>
      </c>
      <c r="M117" s="33" t="s">
        <v>494</v>
      </c>
      <c r="N117" s="33" t="s">
        <v>460</v>
      </c>
      <c r="O117" s="40">
        <v>0.25</v>
      </c>
      <c r="P117" s="39"/>
      <c r="Q117" s="63">
        <f>R117+S117+T117</f>
        <v>0.162</v>
      </c>
      <c r="R117" s="63">
        <v>0.025</v>
      </c>
      <c r="S117" s="63">
        <v>0.044</v>
      </c>
      <c r="T117" s="40">
        <v>0.093</v>
      </c>
      <c r="U117" s="63"/>
      <c r="V117" s="63"/>
      <c r="W117" s="40"/>
      <c r="X117" s="63"/>
      <c r="Y117" s="63"/>
      <c r="Z117" s="60"/>
      <c r="AA117" s="60"/>
      <c r="AB117" s="60"/>
      <c r="AC117" s="60"/>
      <c r="AD117" s="33">
        <v>2013</v>
      </c>
      <c r="AE117" s="33">
        <v>15</v>
      </c>
      <c r="AF117" s="33" t="s">
        <v>461</v>
      </c>
      <c r="AG117" s="33" t="s">
        <v>462</v>
      </c>
      <c r="AH117" s="40">
        <v>0.25</v>
      </c>
      <c r="AI117" s="33"/>
    </row>
    <row r="118" spans="1:35" ht="63">
      <c r="A118" s="33"/>
      <c r="B118" s="39" t="s">
        <v>495</v>
      </c>
      <c r="C118" s="39"/>
      <c r="D118" s="39"/>
      <c r="E118" s="39"/>
      <c r="F118" s="39"/>
      <c r="G118" s="39"/>
      <c r="H118" s="76"/>
      <c r="I118" s="76"/>
      <c r="J118" s="39"/>
      <c r="K118" s="33" t="s">
        <v>496</v>
      </c>
      <c r="L118" s="33" t="s">
        <v>497</v>
      </c>
      <c r="M118" s="33" t="s">
        <v>494</v>
      </c>
      <c r="N118" s="33" t="s">
        <v>498</v>
      </c>
      <c r="O118" s="40">
        <v>0.21</v>
      </c>
      <c r="P118" s="39"/>
      <c r="Q118" s="63">
        <f t="shared" si="3"/>
        <v>0.147</v>
      </c>
      <c r="R118" s="63">
        <v>0.021</v>
      </c>
      <c r="S118" s="63">
        <v>0.037</v>
      </c>
      <c r="T118" s="40">
        <v>0.089</v>
      </c>
      <c r="U118" s="39"/>
      <c r="V118" s="63"/>
      <c r="W118" s="40"/>
      <c r="X118" s="63"/>
      <c r="Y118" s="63"/>
      <c r="Z118" s="60"/>
      <c r="AA118" s="60"/>
      <c r="AB118" s="60"/>
      <c r="AC118" s="60"/>
      <c r="AD118" s="33">
        <v>2013</v>
      </c>
      <c r="AE118" s="33">
        <v>15</v>
      </c>
      <c r="AF118" s="33" t="s">
        <v>461</v>
      </c>
      <c r="AG118" s="33" t="s">
        <v>462</v>
      </c>
      <c r="AH118" s="40">
        <v>0.21</v>
      </c>
      <c r="AI118" s="33"/>
    </row>
    <row r="119" spans="1:35" ht="63">
      <c r="A119" s="33"/>
      <c r="B119" s="39" t="s">
        <v>499</v>
      </c>
      <c r="C119" s="39"/>
      <c r="D119" s="39"/>
      <c r="E119" s="39"/>
      <c r="F119" s="39"/>
      <c r="G119" s="39"/>
      <c r="H119" s="76"/>
      <c r="I119" s="76"/>
      <c r="J119" s="39"/>
      <c r="K119" s="33">
        <v>1969</v>
      </c>
      <c r="L119" s="33">
        <v>15</v>
      </c>
      <c r="M119" s="33" t="s">
        <v>461</v>
      </c>
      <c r="N119" s="33" t="s">
        <v>460</v>
      </c>
      <c r="O119" s="40">
        <v>0.22</v>
      </c>
      <c r="P119" s="39"/>
      <c r="Q119" s="63">
        <f t="shared" si="3"/>
        <v>0.154</v>
      </c>
      <c r="R119" s="63">
        <v>0.022</v>
      </c>
      <c r="S119" s="63">
        <v>0.039</v>
      </c>
      <c r="T119" s="40">
        <v>0.093</v>
      </c>
      <c r="U119" s="39"/>
      <c r="V119" s="63"/>
      <c r="W119" s="40"/>
      <c r="X119" s="63"/>
      <c r="Y119" s="63"/>
      <c r="Z119" s="60"/>
      <c r="AA119" s="60"/>
      <c r="AB119" s="60"/>
      <c r="AC119" s="60"/>
      <c r="AD119" s="33">
        <v>2013</v>
      </c>
      <c r="AE119" s="33">
        <v>15</v>
      </c>
      <c r="AF119" s="33"/>
      <c r="AG119" s="33" t="s">
        <v>500</v>
      </c>
      <c r="AH119" s="40">
        <v>0.22</v>
      </c>
      <c r="AI119" s="33"/>
    </row>
    <row r="120" spans="1:35" ht="15.75">
      <c r="A120" s="33"/>
      <c r="B120" s="30" t="s">
        <v>354</v>
      </c>
      <c r="C120" s="39"/>
      <c r="D120" s="39"/>
      <c r="E120" s="39"/>
      <c r="F120" s="39"/>
      <c r="G120" s="39"/>
      <c r="H120" s="76"/>
      <c r="I120" s="76"/>
      <c r="J120" s="39"/>
      <c r="K120" s="33"/>
      <c r="L120" s="33"/>
      <c r="M120" s="33"/>
      <c r="N120" s="33"/>
      <c r="O120" s="34">
        <f>SUM(O106:O119)</f>
        <v>9.709000000000001</v>
      </c>
      <c r="P120" s="35"/>
      <c r="Q120" s="34">
        <f>SUM(Q106:Q119)</f>
        <v>6.785999999999999</v>
      </c>
      <c r="R120" s="65"/>
      <c r="S120" s="65"/>
      <c r="T120" s="34"/>
      <c r="U120" s="35"/>
      <c r="V120" s="34"/>
      <c r="W120" s="34"/>
      <c r="X120" s="35"/>
      <c r="Y120" s="35"/>
      <c r="Z120" s="73"/>
      <c r="AA120" s="73"/>
      <c r="AB120" s="73"/>
      <c r="AC120" s="73"/>
      <c r="AD120" s="30"/>
      <c r="AE120" s="30"/>
      <c r="AF120" s="30"/>
      <c r="AG120" s="30"/>
      <c r="AH120" s="34">
        <f>SUM(AH106:AH119)</f>
        <v>9.709000000000001</v>
      </c>
      <c r="AI120" s="33"/>
    </row>
    <row r="121" spans="1:35" ht="15.75">
      <c r="A121" s="616"/>
      <c r="B121" s="62" t="s">
        <v>404</v>
      </c>
      <c r="C121" s="39"/>
      <c r="D121" s="39"/>
      <c r="E121" s="39"/>
      <c r="F121" s="39"/>
      <c r="G121" s="39"/>
      <c r="H121" s="76"/>
      <c r="I121" s="76"/>
      <c r="J121" s="39"/>
      <c r="K121" s="33"/>
      <c r="L121" s="33"/>
      <c r="M121" s="33"/>
      <c r="N121" s="33"/>
      <c r="O121" s="80"/>
      <c r="P121" s="39"/>
      <c r="Q121" s="34"/>
      <c r="R121" s="63"/>
      <c r="S121" s="63"/>
      <c r="T121" s="40"/>
      <c r="U121" s="39"/>
      <c r="V121" s="39"/>
      <c r="W121" s="39"/>
      <c r="X121" s="39"/>
      <c r="Y121" s="39"/>
      <c r="Z121" s="60"/>
      <c r="AA121" s="60"/>
      <c r="AB121" s="60"/>
      <c r="AC121" s="60"/>
      <c r="AD121" s="33"/>
      <c r="AE121" s="33"/>
      <c r="AF121" s="60"/>
      <c r="AG121" s="33"/>
      <c r="AH121" s="34"/>
      <c r="AI121" s="33"/>
    </row>
    <row r="122" spans="1:35" ht="15.75">
      <c r="A122" s="616"/>
      <c r="B122" s="30" t="s">
        <v>501</v>
      </c>
      <c r="C122" s="39"/>
      <c r="D122" s="39"/>
      <c r="E122" s="39"/>
      <c r="F122" s="39"/>
      <c r="G122" s="39"/>
      <c r="H122" s="76"/>
      <c r="I122" s="76"/>
      <c r="J122" s="39"/>
      <c r="K122" s="33"/>
      <c r="L122" s="33"/>
      <c r="M122" s="33"/>
      <c r="N122" s="33"/>
      <c r="O122" s="33"/>
      <c r="P122" s="39"/>
      <c r="Q122" s="63"/>
      <c r="R122" s="63"/>
      <c r="S122" s="63"/>
      <c r="T122" s="40"/>
      <c r="U122" s="39"/>
      <c r="V122" s="39"/>
      <c r="W122" s="39"/>
      <c r="X122" s="39"/>
      <c r="Y122" s="39"/>
      <c r="Z122" s="60"/>
      <c r="AA122" s="60"/>
      <c r="AB122" s="60"/>
      <c r="AC122" s="60"/>
      <c r="AD122" s="33"/>
      <c r="AE122" s="33"/>
      <c r="AF122" s="60"/>
      <c r="AG122" s="33"/>
      <c r="AH122" s="40"/>
      <c r="AI122" s="33"/>
    </row>
    <row r="123" spans="1:35" ht="63">
      <c r="A123" s="33"/>
      <c r="B123" s="39" t="s">
        <v>502</v>
      </c>
      <c r="C123" s="39"/>
      <c r="D123" s="39"/>
      <c r="E123" s="39"/>
      <c r="F123" s="39"/>
      <c r="G123" s="39"/>
      <c r="H123" s="76"/>
      <c r="I123" s="76"/>
      <c r="J123" s="39"/>
      <c r="K123" s="33">
        <v>1985</v>
      </c>
      <c r="L123" s="33">
        <v>7</v>
      </c>
      <c r="M123" s="33" t="s">
        <v>503</v>
      </c>
      <c r="N123" s="33" t="s">
        <v>504</v>
      </c>
      <c r="O123" s="33">
        <v>1.2</v>
      </c>
      <c r="P123" s="39"/>
      <c r="Q123" s="63">
        <f>R123+S123+T123</f>
        <v>0.84</v>
      </c>
      <c r="R123" s="63">
        <v>0.121</v>
      </c>
      <c r="S123" s="63">
        <v>0.213</v>
      </c>
      <c r="T123" s="40">
        <v>0.506</v>
      </c>
      <c r="U123" s="76"/>
      <c r="V123" s="63"/>
      <c r="W123" s="40"/>
      <c r="X123" s="63"/>
      <c r="Y123" s="63"/>
      <c r="Z123" s="60"/>
      <c r="AA123" s="60"/>
      <c r="AB123" s="60"/>
      <c r="AC123" s="60"/>
      <c r="AD123" s="33">
        <v>2013</v>
      </c>
      <c r="AE123" s="33">
        <v>15</v>
      </c>
      <c r="AF123" s="33" t="s">
        <v>505</v>
      </c>
      <c r="AG123" s="33" t="s">
        <v>506</v>
      </c>
      <c r="AH123" s="40">
        <v>1.2</v>
      </c>
      <c r="AI123" s="33"/>
    </row>
    <row r="124" spans="1:35" ht="63">
      <c r="A124" s="33"/>
      <c r="B124" s="39" t="s">
        <v>507</v>
      </c>
      <c r="C124" s="39"/>
      <c r="D124" s="39"/>
      <c r="E124" s="39"/>
      <c r="F124" s="39"/>
      <c r="G124" s="39"/>
      <c r="H124" s="76"/>
      <c r="I124" s="76"/>
      <c r="J124" s="39"/>
      <c r="K124" s="33">
        <v>1984</v>
      </c>
      <c r="L124" s="33">
        <v>7</v>
      </c>
      <c r="M124" s="33" t="s">
        <v>503</v>
      </c>
      <c r="N124" s="33" t="s">
        <v>508</v>
      </c>
      <c r="O124" s="33">
        <v>1</v>
      </c>
      <c r="P124" s="39"/>
      <c r="Q124" s="63">
        <f>R124+S124+T124</f>
        <v>0.7010000000000001</v>
      </c>
      <c r="R124" s="63">
        <v>0.101</v>
      </c>
      <c r="S124" s="63">
        <v>0.177</v>
      </c>
      <c r="T124" s="40">
        <v>0.423</v>
      </c>
      <c r="U124" s="76"/>
      <c r="V124" s="63"/>
      <c r="W124" s="40"/>
      <c r="X124" s="63"/>
      <c r="Y124" s="63"/>
      <c r="Z124" s="60"/>
      <c r="AA124" s="60"/>
      <c r="AB124" s="60"/>
      <c r="AC124" s="60"/>
      <c r="AD124" s="33">
        <v>2013</v>
      </c>
      <c r="AE124" s="33">
        <v>15</v>
      </c>
      <c r="AF124" s="33" t="s">
        <v>505</v>
      </c>
      <c r="AG124" s="33" t="s">
        <v>506</v>
      </c>
      <c r="AH124" s="40">
        <v>1</v>
      </c>
      <c r="AI124" s="33"/>
    </row>
    <row r="125" spans="1:35" ht="15.75">
      <c r="A125" s="616"/>
      <c r="B125" s="62" t="s">
        <v>374</v>
      </c>
      <c r="C125" s="39"/>
      <c r="D125" s="39"/>
      <c r="E125" s="39"/>
      <c r="F125" s="39"/>
      <c r="G125" s="39"/>
      <c r="H125" s="76"/>
      <c r="I125" s="76"/>
      <c r="J125" s="39"/>
      <c r="K125" s="33"/>
      <c r="L125" s="33"/>
      <c r="M125" s="33"/>
      <c r="N125" s="33"/>
      <c r="O125" s="33"/>
      <c r="P125" s="39"/>
      <c r="Q125" s="63"/>
      <c r="R125" s="63"/>
      <c r="S125" s="63"/>
      <c r="T125" s="40"/>
      <c r="U125" s="39"/>
      <c r="V125" s="76"/>
      <c r="W125" s="77"/>
      <c r="X125" s="76"/>
      <c r="Y125" s="39"/>
      <c r="Z125" s="60"/>
      <c r="AA125" s="60"/>
      <c r="AB125" s="60"/>
      <c r="AC125" s="60"/>
      <c r="AD125" s="33"/>
      <c r="AE125" s="33"/>
      <c r="AF125" s="60"/>
      <c r="AG125" s="33"/>
      <c r="AH125" s="40"/>
      <c r="AI125" s="33"/>
    </row>
    <row r="126" spans="1:35" ht="15.75">
      <c r="A126" s="616"/>
      <c r="B126" s="30" t="s">
        <v>501</v>
      </c>
      <c r="C126" s="39"/>
      <c r="D126" s="39"/>
      <c r="E126" s="39"/>
      <c r="F126" s="39"/>
      <c r="G126" s="39"/>
      <c r="H126" s="76"/>
      <c r="I126" s="76"/>
      <c r="J126" s="39"/>
      <c r="K126" s="33"/>
      <c r="L126" s="33"/>
      <c r="M126" s="33"/>
      <c r="N126" s="33"/>
      <c r="O126" s="33"/>
      <c r="P126" s="39"/>
      <c r="Q126" s="63"/>
      <c r="R126" s="63"/>
      <c r="S126" s="63"/>
      <c r="T126" s="40"/>
      <c r="U126" s="39"/>
      <c r="V126" s="76"/>
      <c r="W126" s="77"/>
      <c r="X126" s="76"/>
      <c r="Y126" s="39"/>
      <c r="Z126" s="60"/>
      <c r="AA126" s="60"/>
      <c r="AB126" s="60"/>
      <c r="AC126" s="60"/>
      <c r="AD126" s="33"/>
      <c r="AE126" s="33"/>
      <c r="AF126" s="60"/>
      <c r="AG126" s="33"/>
      <c r="AH126" s="40"/>
      <c r="AI126" s="33"/>
    </row>
    <row r="127" spans="1:35" ht="47.25">
      <c r="A127" s="33"/>
      <c r="B127" s="39" t="s">
        <v>509</v>
      </c>
      <c r="C127" s="39"/>
      <c r="D127" s="39"/>
      <c r="E127" s="39"/>
      <c r="F127" s="39"/>
      <c r="G127" s="39"/>
      <c r="H127" s="76"/>
      <c r="I127" s="76"/>
      <c r="J127" s="39"/>
      <c r="K127" s="33">
        <v>1967</v>
      </c>
      <c r="L127" s="33">
        <v>15</v>
      </c>
      <c r="M127" s="33" t="s">
        <v>461</v>
      </c>
      <c r="N127" s="33" t="s">
        <v>510</v>
      </c>
      <c r="O127" s="33">
        <v>1.7</v>
      </c>
      <c r="P127" s="39"/>
      <c r="Q127" s="63">
        <f>S127+T127</f>
        <v>1.019</v>
      </c>
      <c r="R127" s="63">
        <v>0.172</v>
      </c>
      <c r="S127" s="63">
        <v>0.302</v>
      </c>
      <c r="T127" s="40">
        <v>0.717</v>
      </c>
      <c r="U127" s="39"/>
      <c r="V127" s="63"/>
      <c r="W127" s="40"/>
      <c r="X127" s="63"/>
      <c r="Y127" s="63"/>
      <c r="Z127" s="60"/>
      <c r="AA127" s="60"/>
      <c r="AB127" s="60"/>
      <c r="AC127" s="60"/>
      <c r="AD127" s="33">
        <v>2013</v>
      </c>
      <c r="AE127" s="33">
        <v>15</v>
      </c>
      <c r="AF127" s="33" t="s">
        <v>505</v>
      </c>
      <c r="AG127" s="33" t="s">
        <v>506</v>
      </c>
      <c r="AH127" s="40">
        <v>1.7</v>
      </c>
      <c r="AI127" s="33"/>
    </row>
    <row r="128" spans="1:35" ht="15.75">
      <c r="A128" s="616"/>
      <c r="B128" s="62" t="s">
        <v>355</v>
      </c>
      <c r="C128" s="39"/>
      <c r="D128" s="39"/>
      <c r="E128" s="39"/>
      <c r="F128" s="39"/>
      <c r="G128" s="39"/>
      <c r="H128" s="76"/>
      <c r="I128" s="76"/>
      <c r="J128" s="39"/>
      <c r="K128" s="39"/>
      <c r="L128" s="39"/>
      <c r="M128" s="39"/>
      <c r="N128" s="39"/>
      <c r="O128" s="39"/>
      <c r="P128" s="39"/>
      <c r="Q128" s="63"/>
      <c r="R128" s="63"/>
      <c r="S128" s="63"/>
      <c r="T128" s="40"/>
      <c r="U128" s="39"/>
      <c r="V128" s="76"/>
      <c r="W128" s="77"/>
      <c r="X128" s="76"/>
      <c r="Y128" s="39"/>
      <c r="Z128" s="60"/>
      <c r="AA128" s="60"/>
      <c r="AB128" s="60"/>
      <c r="AC128" s="60"/>
      <c r="AD128" s="33"/>
      <c r="AE128" s="33"/>
      <c r="AF128" s="60"/>
      <c r="AG128" s="33"/>
      <c r="AH128" s="40"/>
      <c r="AI128" s="33"/>
    </row>
    <row r="129" spans="1:35" ht="15.75">
      <c r="A129" s="616"/>
      <c r="B129" s="30" t="s">
        <v>511</v>
      </c>
      <c r="C129" s="39"/>
      <c r="D129" s="39"/>
      <c r="E129" s="39"/>
      <c r="F129" s="39"/>
      <c r="G129" s="39"/>
      <c r="H129" s="76"/>
      <c r="I129" s="76"/>
      <c r="J129" s="39"/>
      <c r="K129" s="39"/>
      <c r="L129" s="39"/>
      <c r="M129" s="39"/>
      <c r="N129" s="39"/>
      <c r="O129" s="39"/>
      <c r="P129" s="39"/>
      <c r="Q129" s="63"/>
      <c r="R129" s="63"/>
      <c r="S129" s="63"/>
      <c r="T129" s="40"/>
      <c r="U129" s="39"/>
      <c r="V129" s="76"/>
      <c r="W129" s="77"/>
      <c r="X129" s="76"/>
      <c r="Y129" s="39"/>
      <c r="Z129" s="60"/>
      <c r="AA129" s="60"/>
      <c r="AB129" s="60"/>
      <c r="AC129" s="60"/>
      <c r="AD129" s="33"/>
      <c r="AE129" s="33"/>
      <c r="AF129" s="60"/>
      <c r="AG129" s="33"/>
      <c r="AH129" s="40"/>
      <c r="AI129" s="33"/>
    </row>
    <row r="130" spans="1:35" ht="63">
      <c r="A130" s="33"/>
      <c r="B130" s="39" t="s">
        <v>512</v>
      </c>
      <c r="C130" s="39"/>
      <c r="D130" s="39"/>
      <c r="E130" s="39"/>
      <c r="F130" s="39"/>
      <c r="G130" s="39"/>
      <c r="H130" s="76"/>
      <c r="I130" s="76"/>
      <c r="J130" s="39"/>
      <c r="K130" s="33">
        <v>1960</v>
      </c>
      <c r="L130" s="33">
        <v>16</v>
      </c>
      <c r="M130" s="39" t="s">
        <v>503</v>
      </c>
      <c r="N130" s="33" t="s">
        <v>510</v>
      </c>
      <c r="O130" s="33">
        <v>0.71</v>
      </c>
      <c r="P130" s="39"/>
      <c r="Q130" s="63">
        <f>R130+S130+T130</f>
        <v>0.498</v>
      </c>
      <c r="R130" s="63">
        <v>0.072</v>
      </c>
      <c r="S130" s="63">
        <v>0.126</v>
      </c>
      <c r="T130" s="40">
        <v>0.3</v>
      </c>
      <c r="U130" s="39"/>
      <c r="V130" s="63"/>
      <c r="W130" s="40"/>
      <c r="X130" s="63"/>
      <c r="Y130" s="63"/>
      <c r="Z130" s="60"/>
      <c r="AA130" s="60"/>
      <c r="AB130" s="60"/>
      <c r="AC130" s="60"/>
      <c r="AD130" s="33">
        <v>2013</v>
      </c>
      <c r="AE130" s="33">
        <v>15</v>
      </c>
      <c r="AF130" s="33" t="s">
        <v>505</v>
      </c>
      <c r="AG130" s="33" t="s">
        <v>506</v>
      </c>
      <c r="AH130" s="40">
        <v>0.71</v>
      </c>
      <c r="AI130" s="33"/>
    </row>
    <row r="131" spans="1:35" ht="63">
      <c r="A131" s="33"/>
      <c r="B131" s="39" t="s">
        <v>513</v>
      </c>
      <c r="C131" s="39"/>
      <c r="D131" s="39"/>
      <c r="E131" s="39"/>
      <c r="F131" s="39"/>
      <c r="G131" s="39"/>
      <c r="H131" s="76"/>
      <c r="I131" s="76"/>
      <c r="J131" s="39"/>
      <c r="K131" s="33">
        <v>1956</v>
      </c>
      <c r="L131" s="33">
        <v>16</v>
      </c>
      <c r="M131" s="39" t="s">
        <v>503</v>
      </c>
      <c r="N131" s="33" t="s">
        <v>510</v>
      </c>
      <c r="O131" s="33">
        <v>0.28</v>
      </c>
      <c r="P131" s="39"/>
      <c r="Q131" s="63">
        <f aca="true" t="shared" si="4" ref="Q131:Q138">R131+S131+T131</f>
        <v>0.19169999999999998</v>
      </c>
      <c r="R131" s="63">
        <v>0.028</v>
      </c>
      <c r="S131" s="63">
        <v>0.0457</v>
      </c>
      <c r="T131" s="40">
        <v>0.118</v>
      </c>
      <c r="U131" s="39"/>
      <c r="V131" s="63"/>
      <c r="W131" s="40"/>
      <c r="X131" s="63"/>
      <c r="Y131" s="63"/>
      <c r="Z131" s="60"/>
      <c r="AA131" s="60"/>
      <c r="AB131" s="60"/>
      <c r="AC131" s="60"/>
      <c r="AD131" s="33">
        <v>2013</v>
      </c>
      <c r="AE131" s="33">
        <v>15</v>
      </c>
      <c r="AF131" s="33" t="s">
        <v>505</v>
      </c>
      <c r="AG131" s="33" t="s">
        <v>506</v>
      </c>
      <c r="AH131" s="40">
        <v>0.28</v>
      </c>
      <c r="AI131" s="33"/>
    </row>
    <row r="132" spans="1:35" ht="63">
      <c r="A132" s="33"/>
      <c r="B132" s="39" t="s">
        <v>514</v>
      </c>
      <c r="C132" s="39"/>
      <c r="D132" s="39"/>
      <c r="E132" s="39"/>
      <c r="F132" s="39"/>
      <c r="G132" s="39"/>
      <c r="H132" s="76"/>
      <c r="I132" s="76"/>
      <c r="J132" s="39"/>
      <c r="K132" s="33">
        <v>1970</v>
      </c>
      <c r="L132" s="33">
        <v>16</v>
      </c>
      <c r="M132" s="39" t="s">
        <v>503</v>
      </c>
      <c r="N132" s="33" t="s">
        <v>510</v>
      </c>
      <c r="O132" s="33">
        <v>0.18</v>
      </c>
      <c r="P132" s="39"/>
      <c r="Q132" s="63">
        <f t="shared" si="4"/>
        <v>0.126</v>
      </c>
      <c r="R132" s="63">
        <v>0.018</v>
      </c>
      <c r="S132" s="63">
        <v>0.032</v>
      </c>
      <c r="T132" s="40">
        <v>0.076</v>
      </c>
      <c r="U132" s="39"/>
      <c r="V132" s="63"/>
      <c r="W132" s="40"/>
      <c r="X132" s="63"/>
      <c r="Y132" s="63"/>
      <c r="Z132" s="60"/>
      <c r="AA132" s="60"/>
      <c r="AB132" s="60"/>
      <c r="AC132" s="60"/>
      <c r="AD132" s="33">
        <v>2013</v>
      </c>
      <c r="AE132" s="33">
        <v>15</v>
      </c>
      <c r="AF132" s="33" t="s">
        <v>505</v>
      </c>
      <c r="AG132" s="33" t="s">
        <v>506</v>
      </c>
      <c r="AH132" s="40">
        <v>0.18</v>
      </c>
      <c r="AI132" s="33"/>
    </row>
    <row r="133" spans="1:35" ht="63">
      <c r="A133" s="33"/>
      <c r="B133" s="39" t="s">
        <v>515</v>
      </c>
      <c r="C133" s="39"/>
      <c r="D133" s="39"/>
      <c r="E133" s="39"/>
      <c r="F133" s="39"/>
      <c r="G133" s="39"/>
      <c r="H133" s="76"/>
      <c r="I133" s="76"/>
      <c r="J133" s="39"/>
      <c r="K133" s="33">
        <v>1970</v>
      </c>
      <c r="L133" s="33">
        <v>16</v>
      </c>
      <c r="M133" s="39" t="s">
        <v>503</v>
      </c>
      <c r="N133" s="33" t="s">
        <v>510</v>
      </c>
      <c r="O133" s="33">
        <v>0.21</v>
      </c>
      <c r="P133" s="39"/>
      <c r="Q133" s="63">
        <f t="shared" si="4"/>
        <v>0.146</v>
      </c>
      <c r="R133" s="63">
        <v>0.021</v>
      </c>
      <c r="S133" s="63">
        <v>0.037</v>
      </c>
      <c r="T133" s="40">
        <v>0.088</v>
      </c>
      <c r="U133" s="39"/>
      <c r="V133" s="63"/>
      <c r="W133" s="40"/>
      <c r="X133" s="63"/>
      <c r="Y133" s="63"/>
      <c r="Z133" s="60"/>
      <c r="AA133" s="60"/>
      <c r="AB133" s="60"/>
      <c r="AC133" s="60"/>
      <c r="AD133" s="33">
        <v>2013</v>
      </c>
      <c r="AE133" s="33">
        <v>15</v>
      </c>
      <c r="AF133" s="33" t="s">
        <v>505</v>
      </c>
      <c r="AG133" s="33" t="s">
        <v>506</v>
      </c>
      <c r="AH133" s="40">
        <v>0.21</v>
      </c>
      <c r="AI133" s="33"/>
    </row>
    <row r="134" spans="1:35" ht="63">
      <c r="A134" s="33"/>
      <c r="B134" s="39" t="s">
        <v>516</v>
      </c>
      <c r="C134" s="39"/>
      <c r="D134" s="39"/>
      <c r="E134" s="39"/>
      <c r="F134" s="39"/>
      <c r="G134" s="39"/>
      <c r="H134" s="76"/>
      <c r="I134" s="76"/>
      <c r="J134" s="39"/>
      <c r="K134" s="33">
        <v>1974</v>
      </c>
      <c r="L134" s="33">
        <v>16</v>
      </c>
      <c r="M134" s="39" t="s">
        <v>503</v>
      </c>
      <c r="N134" s="33" t="s">
        <v>510</v>
      </c>
      <c r="O134" s="33">
        <v>0.72</v>
      </c>
      <c r="P134" s="39"/>
      <c r="Q134" s="63">
        <f t="shared" si="4"/>
        <v>0.505</v>
      </c>
      <c r="R134" s="63">
        <v>0.073</v>
      </c>
      <c r="S134" s="63">
        <v>0.128</v>
      </c>
      <c r="T134" s="40">
        <v>0.304</v>
      </c>
      <c r="U134" s="39"/>
      <c r="V134" s="63"/>
      <c r="W134" s="40"/>
      <c r="X134" s="63"/>
      <c r="Y134" s="63"/>
      <c r="Z134" s="60"/>
      <c r="AA134" s="60"/>
      <c r="AB134" s="60"/>
      <c r="AC134" s="60"/>
      <c r="AD134" s="33">
        <v>2013</v>
      </c>
      <c r="AE134" s="33">
        <v>15</v>
      </c>
      <c r="AF134" s="33" t="s">
        <v>505</v>
      </c>
      <c r="AG134" s="33" t="s">
        <v>506</v>
      </c>
      <c r="AH134" s="40">
        <v>0.72</v>
      </c>
      <c r="AI134" s="33"/>
    </row>
    <row r="135" spans="1:35" ht="63">
      <c r="A135" s="33"/>
      <c r="B135" s="39" t="s">
        <v>517</v>
      </c>
      <c r="C135" s="39"/>
      <c r="D135" s="39"/>
      <c r="E135" s="39"/>
      <c r="F135" s="39"/>
      <c r="G135" s="39"/>
      <c r="H135" s="76"/>
      <c r="I135" s="76"/>
      <c r="J135" s="39"/>
      <c r="K135" s="33">
        <v>1969</v>
      </c>
      <c r="L135" s="33">
        <v>16</v>
      </c>
      <c r="M135" s="39" t="s">
        <v>503</v>
      </c>
      <c r="N135" s="33" t="s">
        <v>510</v>
      </c>
      <c r="O135" s="33">
        <v>0.4</v>
      </c>
      <c r="P135" s="39"/>
      <c r="Q135" s="63">
        <f t="shared" si="4"/>
        <v>0.28</v>
      </c>
      <c r="R135" s="63">
        <v>0.04</v>
      </c>
      <c r="S135" s="63">
        <v>0.071</v>
      </c>
      <c r="T135" s="40">
        <v>0.169</v>
      </c>
      <c r="U135" s="39"/>
      <c r="V135" s="63"/>
      <c r="W135" s="40"/>
      <c r="X135" s="63"/>
      <c r="Y135" s="63"/>
      <c r="Z135" s="60"/>
      <c r="AA135" s="60"/>
      <c r="AB135" s="60"/>
      <c r="AC135" s="60"/>
      <c r="AD135" s="33">
        <v>2013</v>
      </c>
      <c r="AE135" s="33">
        <v>15</v>
      </c>
      <c r="AF135" s="33" t="s">
        <v>505</v>
      </c>
      <c r="AG135" s="33" t="s">
        <v>506</v>
      </c>
      <c r="AH135" s="40">
        <v>0.4</v>
      </c>
      <c r="AI135" s="33"/>
    </row>
    <row r="136" spans="1:35" ht="63">
      <c r="A136" s="33"/>
      <c r="B136" s="39" t="s">
        <v>518</v>
      </c>
      <c r="C136" s="39"/>
      <c r="D136" s="39"/>
      <c r="E136" s="39"/>
      <c r="F136" s="39"/>
      <c r="G136" s="39"/>
      <c r="H136" s="76"/>
      <c r="I136" s="76"/>
      <c r="J136" s="39"/>
      <c r="K136" s="33">
        <v>1959</v>
      </c>
      <c r="L136" s="33">
        <v>16</v>
      </c>
      <c r="M136" s="39" t="s">
        <v>503</v>
      </c>
      <c r="N136" s="33" t="s">
        <v>510</v>
      </c>
      <c r="O136" s="33">
        <v>1.04</v>
      </c>
      <c r="P136" s="39"/>
      <c r="Q136" s="63">
        <f t="shared" si="4"/>
        <v>0.728</v>
      </c>
      <c r="R136" s="63">
        <v>0.105</v>
      </c>
      <c r="S136" s="63">
        <v>0.184</v>
      </c>
      <c r="T136" s="40">
        <v>0.439</v>
      </c>
      <c r="U136" s="39"/>
      <c r="V136" s="63"/>
      <c r="W136" s="40"/>
      <c r="X136" s="63"/>
      <c r="Y136" s="63"/>
      <c r="Z136" s="60"/>
      <c r="AA136" s="60"/>
      <c r="AB136" s="60"/>
      <c r="AC136" s="60"/>
      <c r="AD136" s="33">
        <v>2013</v>
      </c>
      <c r="AE136" s="33">
        <v>15</v>
      </c>
      <c r="AF136" s="33" t="s">
        <v>505</v>
      </c>
      <c r="AG136" s="33" t="s">
        <v>506</v>
      </c>
      <c r="AH136" s="40">
        <v>1.04</v>
      </c>
      <c r="AI136" s="33"/>
    </row>
    <row r="137" spans="1:35" ht="63">
      <c r="A137" s="33"/>
      <c r="B137" s="39" t="s">
        <v>519</v>
      </c>
      <c r="C137" s="39"/>
      <c r="D137" s="39"/>
      <c r="E137" s="39"/>
      <c r="F137" s="39"/>
      <c r="G137" s="39"/>
      <c r="H137" s="76"/>
      <c r="I137" s="76"/>
      <c r="J137" s="39"/>
      <c r="K137" s="33">
        <v>1968</v>
      </c>
      <c r="L137" s="33">
        <v>16</v>
      </c>
      <c r="M137" s="39" t="s">
        <v>503</v>
      </c>
      <c r="N137" s="33" t="s">
        <v>510</v>
      </c>
      <c r="O137" s="33">
        <v>0.95</v>
      </c>
      <c r="P137" s="39"/>
      <c r="Q137" s="63">
        <f t="shared" si="4"/>
        <v>0.666</v>
      </c>
      <c r="R137" s="63">
        <v>0.096</v>
      </c>
      <c r="S137" s="63">
        <v>0.169</v>
      </c>
      <c r="T137" s="40">
        <v>0.401</v>
      </c>
      <c r="U137" s="39"/>
      <c r="V137" s="63"/>
      <c r="W137" s="40"/>
      <c r="X137" s="63"/>
      <c r="Y137" s="63"/>
      <c r="Z137" s="60"/>
      <c r="AA137" s="60"/>
      <c r="AB137" s="60"/>
      <c r="AC137" s="60"/>
      <c r="AD137" s="33">
        <v>2013</v>
      </c>
      <c r="AE137" s="33">
        <v>15</v>
      </c>
      <c r="AF137" s="33" t="s">
        <v>505</v>
      </c>
      <c r="AG137" s="33" t="s">
        <v>506</v>
      </c>
      <c r="AH137" s="40">
        <v>0.95</v>
      </c>
      <c r="AI137" s="33"/>
    </row>
    <row r="138" spans="1:35" ht="63">
      <c r="A138" s="33"/>
      <c r="B138" s="39" t="s">
        <v>520</v>
      </c>
      <c r="C138" s="39"/>
      <c r="D138" s="39"/>
      <c r="E138" s="39"/>
      <c r="F138" s="39"/>
      <c r="G138" s="39"/>
      <c r="H138" s="76"/>
      <c r="I138" s="76"/>
      <c r="J138" s="39"/>
      <c r="K138" s="33">
        <v>1970</v>
      </c>
      <c r="L138" s="33">
        <v>16</v>
      </c>
      <c r="M138" s="39" t="s">
        <v>503</v>
      </c>
      <c r="N138" s="33" t="s">
        <v>521</v>
      </c>
      <c r="O138" s="33">
        <v>0.7</v>
      </c>
      <c r="P138" s="39"/>
      <c r="Q138" s="63">
        <f t="shared" si="4"/>
        <v>0.6699999999999999</v>
      </c>
      <c r="R138" s="63">
        <v>0.08</v>
      </c>
      <c r="S138" s="63">
        <v>0.093</v>
      </c>
      <c r="T138" s="40">
        <v>0.497</v>
      </c>
      <c r="U138" s="39"/>
      <c r="V138" s="63"/>
      <c r="W138" s="40"/>
      <c r="X138" s="63"/>
      <c r="Y138" s="63"/>
      <c r="Z138" s="60"/>
      <c r="AA138" s="60"/>
      <c r="AB138" s="60"/>
      <c r="AC138" s="60"/>
      <c r="AD138" s="33">
        <v>2013</v>
      </c>
      <c r="AE138" s="33">
        <v>15</v>
      </c>
      <c r="AF138" s="33" t="s">
        <v>522</v>
      </c>
      <c r="AG138" s="33" t="s">
        <v>523</v>
      </c>
      <c r="AH138" s="40">
        <v>0.7</v>
      </c>
      <c r="AI138" s="33"/>
    </row>
    <row r="139" spans="1:35" ht="15.75">
      <c r="A139" s="616"/>
      <c r="B139" s="62" t="s">
        <v>375</v>
      </c>
      <c r="C139" s="39"/>
      <c r="D139" s="39"/>
      <c r="E139" s="39"/>
      <c r="F139" s="39"/>
      <c r="G139" s="39"/>
      <c r="H139" s="76"/>
      <c r="I139" s="76"/>
      <c r="J139" s="39"/>
      <c r="K139" s="33"/>
      <c r="L139" s="33"/>
      <c r="M139" s="33"/>
      <c r="N139" s="33"/>
      <c r="O139" s="33"/>
      <c r="P139" s="39"/>
      <c r="Q139" s="63"/>
      <c r="R139" s="63"/>
      <c r="S139" s="63"/>
      <c r="T139" s="40"/>
      <c r="U139" s="39"/>
      <c r="V139" s="76"/>
      <c r="W139" s="77"/>
      <c r="X139" s="76"/>
      <c r="Y139" s="39"/>
      <c r="Z139" s="60"/>
      <c r="AA139" s="60"/>
      <c r="AB139" s="60"/>
      <c r="AC139" s="60"/>
      <c r="AD139" s="33"/>
      <c r="AE139" s="33"/>
      <c r="AF139" s="60"/>
      <c r="AG139" s="33"/>
      <c r="AH139" s="40"/>
      <c r="AI139" s="33"/>
    </row>
    <row r="140" spans="1:35" ht="15.75">
      <c r="A140" s="616"/>
      <c r="B140" s="30" t="s">
        <v>511</v>
      </c>
      <c r="C140" s="39"/>
      <c r="D140" s="39"/>
      <c r="E140" s="39"/>
      <c r="F140" s="39"/>
      <c r="G140" s="39"/>
      <c r="H140" s="76"/>
      <c r="I140" s="76"/>
      <c r="J140" s="39"/>
      <c r="K140" s="33"/>
      <c r="L140" s="33"/>
      <c r="M140" s="33"/>
      <c r="N140" s="33"/>
      <c r="O140" s="33"/>
      <c r="P140" s="39"/>
      <c r="Q140" s="63"/>
      <c r="R140" s="63"/>
      <c r="S140" s="63"/>
      <c r="T140" s="40"/>
      <c r="U140" s="39"/>
      <c r="V140" s="76"/>
      <c r="W140" s="77"/>
      <c r="X140" s="76"/>
      <c r="Y140" s="39"/>
      <c r="Z140" s="60"/>
      <c r="AA140" s="60"/>
      <c r="AB140" s="60"/>
      <c r="AC140" s="60"/>
      <c r="AD140" s="33"/>
      <c r="AE140" s="33"/>
      <c r="AF140" s="60"/>
      <c r="AG140" s="33"/>
      <c r="AH140" s="40"/>
      <c r="AI140" s="33"/>
    </row>
    <row r="141" spans="1:35" ht="63">
      <c r="A141" s="33"/>
      <c r="B141" s="39" t="s">
        <v>524</v>
      </c>
      <c r="C141" s="39"/>
      <c r="D141" s="39"/>
      <c r="E141" s="39"/>
      <c r="F141" s="39"/>
      <c r="G141" s="39"/>
      <c r="H141" s="76"/>
      <c r="I141" s="76"/>
      <c r="J141" s="39"/>
      <c r="K141" s="33">
        <v>1972</v>
      </c>
      <c r="L141" s="33">
        <v>33.3</v>
      </c>
      <c r="M141" s="33" t="s">
        <v>525</v>
      </c>
      <c r="N141" s="33" t="s">
        <v>510</v>
      </c>
      <c r="O141" s="36">
        <v>1.03</v>
      </c>
      <c r="P141" s="39"/>
      <c r="Q141" s="63">
        <f>R141+S141+T141</f>
        <v>0.722</v>
      </c>
      <c r="R141" s="63">
        <v>0.104</v>
      </c>
      <c r="S141" s="63">
        <v>0.183</v>
      </c>
      <c r="T141" s="40">
        <v>0.435</v>
      </c>
      <c r="U141" s="76"/>
      <c r="V141" s="63"/>
      <c r="W141" s="40"/>
      <c r="X141" s="63"/>
      <c r="Y141" s="63"/>
      <c r="Z141" s="60"/>
      <c r="AA141" s="60"/>
      <c r="AB141" s="60"/>
      <c r="AC141" s="60"/>
      <c r="AD141" s="33">
        <v>2013</v>
      </c>
      <c r="AE141" s="33">
        <v>15</v>
      </c>
      <c r="AF141" s="33" t="s">
        <v>505</v>
      </c>
      <c r="AG141" s="33" t="s">
        <v>506</v>
      </c>
      <c r="AH141" s="40">
        <v>1.03</v>
      </c>
      <c r="AI141" s="33"/>
    </row>
    <row r="142" spans="1:35" ht="47.25">
      <c r="A142" s="33"/>
      <c r="B142" s="39" t="s">
        <v>526</v>
      </c>
      <c r="C142" s="39"/>
      <c r="D142" s="39"/>
      <c r="E142" s="39"/>
      <c r="F142" s="39"/>
      <c r="G142" s="39"/>
      <c r="H142" s="76"/>
      <c r="I142" s="76"/>
      <c r="J142" s="39"/>
      <c r="K142" s="33">
        <v>1978</v>
      </c>
      <c r="L142" s="81">
        <v>25</v>
      </c>
      <c r="M142" s="33" t="s">
        <v>527</v>
      </c>
      <c r="N142" s="33" t="s">
        <v>510</v>
      </c>
      <c r="O142" s="33">
        <v>0.9</v>
      </c>
      <c r="P142" s="39"/>
      <c r="Q142" s="63">
        <f>R142+S142+T142</f>
        <v>0.631</v>
      </c>
      <c r="R142" s="63">
        <v>0.091</v>
      </c>
      <c r="S142" s="63">
        <v>0.16</v>
      </c>
      <c r="T142" s="40">
        <v>0.38</v>
      </c>
      <c r="U142" s="76"/>
      <c r="V142" s="63"/>
      <c r="W142" s="40"/>
      <c r="X142" s="63"/>
      <c r="Y142" s="63"/>
      <c r="Z142" s="60"/>
      <c r="AA142" s="60"/>
      <c r="AB142" s="60"/>
      <c r="AC142" s="60"/>
      <c r="AD142" s="33">
        <v>2013</v>
      </c>
      <c r="AE142" s="33">
        <v>15</v>
      </c>
      <c r="AF142" s="33" t="s">
        <v>505</v>
      </c>
      <c r="AG142" s="33" t="s">
        <v>506</v>
      </c>
      <c r="AH142" s="40">
        <v>0.9</v>
      </c>
      <c r="AI142" s="33"/>
    </row>
    <row r="143" spans="1:35" ht="78.75">
      <c r="A143" s="33"/>
      <c r="B143" s="39" t="s">
        <v>528</v>
      </c>
      <c r="C143" s="39"/>
      <c r="D143" s="39"/>
      <c r="E143" s="39"/>
      <c r="F143" s="39"/>
      <c r="G143" s="39"/>
      <c r="H143" s="76"/>
      <c r="I143" s="76"/>
      <c r="J143" s="39"/>
      <c r="K143" s="33">
        <v>1982</v>
      </c>
      <c r="L143" s="81">
        <v>33.3</v>
      </c>
      <c r="M143" s="33" t="s">
        <v>529</v>
      </c>
      <c r="N143" s="33" t="s">
        <v>510</v>
      </c>
      <c r="O143" s="33">
        <v>0.6</v>
      </c>
      <c r="P143" s="39"/>
      <c r="Q143" s="63">
        <f>R143+S143+T143</f>
        <v>0.42</v>
      </c>
      <c r="R143" s="63">
        <v>0.061</v>
      </c>
      <c r="S143" s="63">
        <v>0.106</v>
      </c>
      <c r="T143" s="40">
        <v>0.253</v>
      </c>
      <c r="U143" s="76"/>
      <c r="V143" s="63"/>
      <c r="W143" s="40"/>
      <c r="X143" s="63"/>
      <c r="Y143" s="63"/>
      <c r="Z143" s="60"/>
      <c r="AA143" s="60"/>
      <c r="AB143" s="60"/>
      <c r="AC143" s="60"/>
      <c r="AD143" s="33">
        <v>2013</v>
      </c>
      <c r="AE143" s="33">
        <v>15</v>
      </c>
      <c r="AF143" s="33" t="s">
        <v>505</v>
      </c>
      <c r="AG143" s="33" t="s">
        <v>506</v>
      </c>
      <c r="AH143" s="40">
        <v>0.6</v>
      </c>
      <c r="AI143" s="33"/>
    </row>
    <row r="144" spans="1:35" ht="78.75">
      <c r="A144" s="33"/>
      <c r="B144" s="39" t="s">
        <v>530</v>
      </c>
      <c r="C144" s="39"/>
      <c r="D144" s="39"/>
      <c r="E144" s="39"/>
      <c r="F144" s="39"/>
      <c r="G144" s="39"/>
      <c r="H144" s="76"/>
      <c r="I144" s="76"/>
      <c r="J144" s="39"/>
      <c r="K144" s="33">
        <v>1978</v>
      </c>
      <c r="L144" s="81">
        <v>33.3</v>
      </c>
      <c r="M144" s="33" t="s">
        <v>529</v>
      </c>
      <c r="N144" s="33" t="s">
        <v>510</v>
      </c>
      <c r="O144" s="33">
        <v>1</v>
      </c>
      <c r="P144" s="39"/>
      <c r="Q144" s="63">
        <f>R144+S144+T144</f>
        <v>0.7</v>
      </c>
      <c r="R144" s="63">
        <v>0.101</v>
      </c>
      <c r="S144" s="63">
        <v>0.177</v>
      </c>
      <c r="T144" s="40">
        <v>0.422</v>
      </c>
      <c r="U144" s="76"/>
      <c r="V144" s="63"/>
      <c r="W144" s="40"/>
      <c r="X144" s="63"/>
      <c r="Y144" s="63"/>
      <c r="Z144" s="60"/>
      <c r="AA144" s="60"/>
      <c r="AB144" s="60"/>
      <c r="AC144" s="60"/>
      <c r="AD144" s="33">
        <v>2013</v>
      </c>
      <c r="AE144" s="33">
        <v>15</v>
      </c>
      <c r="AF144" s="33" t="s">
        <v>505</v>
      </c>
      <c r="AG144" s="33" t="s">
        <v>506</v>
      </c>
      <c r="AH144" s="40">
        <v>1</v>
      </c>
      <c r="AI144" s="33"/>
    </row>
    <row r="145" spans="1:35" ht="31.5">
      <c r="A145" s="33"/>
      <c r="B145" s="39" t="s">
        <v>531</v>
      </c>
      <c r="C145" s="39"/>
      <c r="D145" s="39"/>
      <c r="E145" s="39"/>
      <c r="F145" s="39"/>
      <c r="G145" s="39"/>
      <c r="H145" s="39"/>
      <c r="I145" s="76"/>
      <c r="J145" s="39"/>
      <c r="K145" s="33">
        <v>1967</v>
      </c>
      <c r="L145" s="81">
        <v>33.3</v>
      </c>
      <c r="M145" s="33" t="s">
        <v>461</v>
      </c>
      <c r="N145" s="33" t="s">
        <v>521</v>
      </c>
      <c r="O145" s="33">
        <v>0.85</v>
      </c>
      <c r="P145" s="39"/>
      <c r="Q145" s="63">
        <f>R145+S145+T145</f>
        <v>0.8160000000000001</v>
      </c>
      <c r="R145" s="63">
        <v>0.098</v>
      </c>
      <c r="S145" s="63">
        <v>0.114</v>
      </c>
      <c r="T145" s="40">
        <v>0.604</v>
      </c>
      <c r="U145" s="76"/>
      <c r="V145" s="63"/>
      <c r="W145" s="40"/>
      <c r="X145" s="63"/>
      <c r="Y145" s="63"/>
      <c r="Z145" s="60"/>
      <c r="AA145" s="60"/>
      <c r="AB145" s="60"/>
      <c r="AC145" s="60"/>
      <c r="AD145" s="33">
        <v>2013</v>
      </c>
      <c r="AE145" s="33">
        <v>15</v>
      </c>
      <c r="AF145" s="33" t="s">
        <v>522</v>
      </c>
      <c r="AG145" s="33" t="s">
        <v>523</v>
      </c>
      <c r="AH145" s="40">
        <v>0.85</v>
      </c>
      <c r="AI145" s="33"/>
    </row>
    <row r="146" spans="1:35" ht="15.75">
      <c r="A146" s="616"/>
      <c r="B146" s="62" t="s">
        <v>376</v>
      </c>
      <c r="C146" s="39"/>
      <c r="D146" s="39"/>
      <c r="E146" s="39"/>
      <c r="F146" s="39"/>
      <c r="G146" s="39"/>
      <c r="H146" s="39"/>
      <c r="I146" s="76"/>
      <c r="J146" s="39"/>
      <c r="K146" s="33"/>
      <c r="L146" s="33"/>
      <c r="M146" s="33"/>
      <c r="N146" s="33"/>
      <c r="O146" s="33"/>
      <c r="P146" s="39"/>
      <c r="Q146" s="63"/>
      <c r="R146" s="63"/>
      <c r="S146" s="63"/>
      <c r="T146" s="40"/>
      <c r="U146" s="39"/>
      <c r="V146" s="76"/>
      <c r="W146" s="77"/>
      <c r="X146" s="76"/>
      <c r="Y146" s="39"/>
      <c r="Z146" s="60"/>
      <c r="AA146" s="60"/>
      <c r="AB146" s="60"/>
      <c r="AC146" s="60"/>
      <c r="AD146" s="33"/>
      <c r="AE146" s="33"/>
      <c r="AF146" s="60"/>
      <c r="AG146" s="33"/>
      <c r="AH146" s="40"/>
      <c r="AI146" s="33"/>
    </row>
    <row r="147" spans="1:35" ht="15.75">
      <c r="A147" s="616"/>
      <c r="B147" s="30" t="s">
        <v>511</v>
      </c>
      <c r="C147" s="39"/>
      <c r="D147" s="39"/>
      <c r="E147" s="39"/>
      <c r="F147" s="39"/>
      <c r="G147" s="39"/>
      <c r="H147" s="39"/>
      <c r="I147" s="76"/>
      <c r="J147" s="39"/>
      <c r="K147" s="33"/>
      <c r="L147" s="33"/>
      <c r="M147" s="33"/>
      <c r="N147" s="33"/>
      <c r="O147" s="33"/>
      <c r="P147" s="39"/>
      <c r="Q147" s="63"/>
      <c r="R147" s="63"/>
      <c r="S147" s="63"/>
      <c r="T147" s="40"/>
      <c r="U147" s="39"/>
      <c r="V147" s="76"/>
      <c r="W147" s="77"/>
      <c r="X147" s="76"/>
      <c r="Y147" s="39"/>
      <c r="Z147" s="60"/>
      <c r="AA147" s="60"/>
      <c r="AB147" s="60"/>
      <c r="AC147" s="60"/>
      <c r="AD147" s="33"/>
      <c r="AE147" s="33"/>
      <c r="AF147" s="60"/>
      <c r="AG147" s="33"/>
      <c r="AH147" s="40"/>
      <c r="AI147" s="33"/>
    </row>
    <row r="148" spans="1:35" ht="47.25">
      <c r="A148" s="33"/>
      <c r="B148" s="39" t="s">
        <v>532</v>
      </c>
      <c r="C148" s="39"/>
      <c r="D148" s="39"/>
      <c r="E148" s="39"/>
      <c r="F148" s="39"/>
      <c r="G148" s="39"/>
      <c r="H148" s="39"/>
      <c r="I148" s="76"/>
      <c r="J148" s="39"/>
      <c r="K148" s="33">
        <v>1970</v>
      </c>
      <c r="L148" s="33">
        <v>33</v>
      </c>
      <c r="M148" s="33" t="s">
        <v>461</v>
      </c>
      <c r="N148" s="33" t="s">
        <v>533</v>
      </c>
      <c r="O148" s="33">
        <v>1.2</v>
      </c>
      <c r="P148" s="39"/>
      <c r="Q148" s="63">
        <f>R148+S148+T148</f>
        <v>0.84</v>
      </c>
      <c r="R148" s="63">
        <v>0.121</v>
      </c>
      <c r="S148" s="63">
        <v>0.213</v>
      </c>
      <c r="T148" s="40">
        <v>0.506</v>
      </c>
      <c r="U148" s="39"/>
      <c r="V148" s="63"/>
      <c r="W148" s="40"/>
      <c r="X148" s="63"/>
      <c r="Y148" s="63"/>
      <c r="Z148" s="60"/>
      <c r="AA148" s="60"/>
      <c r="AB148" s="60"/>
      <c r="AC148" s="60"/>
      <c r="AD148" s="33">
        <v>2013</v>
      </c>
      <c r="AE148" s="33">
        <v>15</v>
      </c>
      <c r="AF148" s="33" t="s">
        <v>505</v>
      </c>
      <c r="AG148" s="33" t="s">
        <v>506</v>
      </c>
      <c r="AH148" s="40">
        <v>1.2</v>
      </c>
      <c r="AI148" s="33"/>
    </row>
    <row r="149" spans="1:35" ht="78.75">
      <c r="A149" s="33"/>
      <c r="B149" s="39" t="s">
        <v>534</v>
      </c>
      <c r="C149" s="39"/>
      <c r="D149" s="39"/>
      <c r="E149" s="39"/>
      <c r="F149" s="39"/>
      <c r="G149" s="39"/>
      <c r="H149" s="39"/>
      <c r="I149" s="76"/>
      <c r="J149" s="39"/>
      <c r="K149" s="33">
        <v>1970</v>
      </c>
      <c r="L149" s="33">
        <v>20</v>
      </c>
      <c r="M149" s="33" t="s">
        <v>529</v>
      </c>
      <c r="N149" s="33" t="s">
        <v>535</v>
      </c>
      <c r="O149" s="33">
        <v>1.1</v>
      </c>
      <c r="P149" s="39"/>
      <c r="Q149" s="63">
        <f>R149+S149+T149</f>
        <v>0.77</v>
      </c>
      <c r="R149" s="63">
        <v>0.111</v>
      </c>
      <c r="S149" s="63">
        <v>0.195</v>
      </c>
      <c r="T149" s="40">
        <v>0.464</v>
      </c>
      <c r="U149" s="39"/>
      <c r="V149" s="63"/>
      <c r="W149" s="40"/>
      <c r="X149" s="63"/>
      <c r="Y149" s="63"/>
      <c r="Z149" s="60"/>
      <c r="AA149" s="60"/>
      <c r="AB149" s="60"/>
      <c r="AC149" s="60"/>
      <c r="AD149" s="33">
        <v>2013</v>
      </c>
      <c r="AE149" s="33">
        <v>15</v>
      </c>
      <c r="AF149" s="33" t="s">
        <v>505</v>
      </c>
      <c r="AG149" s="33" t="s">
        <v>506</v>
      </c>
      <c r="AH149" s="40">
        <v>1.1</v>
      </c>
      <c r="AI149" s="33"/>
    </row>
    <row r="150" spans="1:35" ht="63">
      <c r="A150" s="33"/>
      <c r="B150" s="39" t="s">
        <v>536</v>
      </c>
      <c r="C150" s="39"/>
      <c r="D150" s="39"/>
      <c r="E150" s="39"/>
      <c r="F150" s="39"/>
      <c r="G150" s="39"/>
      <c r="H150" s="39"/>
      <c r="I150" s="76"/>
      <c r="J150" s="39"/>
      <c r="K150" s="33">
        <v>1970</v>
      </c>
      <c r="L150" s="33">
        <v>20</v>
      </c>
      <c r="M150" s="33" t="s">
        <v>503</v>
      </c>
      <c r="N150" s="33" t="s">
        <v>533</v>
      </c>
      <c r="O150" s="33">
        <v>1.2</v>
      </c>
      <c r="P150" s="39"/>
      <c r="Q150" s="63">
        <f>R150+S150+T150</f>
        <v>0.84</v>
      </c>
      <c r="R150" s="63">
        <v>0.121</v>
      </c>
      <c r="S150" s="63">
        <v>0.213</v>
      </c>
      <c r="T150" s="40">
        <v>0.506</v>
      </c>
      <c r="U150" s="39"/>
      <c r="V150" s="63"/>
      <c r="W150" s="40"/>
      <c r="X150" s="63"/>
      <c r="Y150" s="63"/>
      <c r="Z150" s="60"/>
      <c r="AA150" s="60"/>
      <c r="AB150" s="60"/>
      <c r="AC150" s="60"/>
      <c r="AD150" s="33">
        <v>2013</v>
      </c>
      <c r="AE150" s="33">
        <v>15</v>
      </c>
      <c r="AF150" s="33" t="s">
        <v>505</v>
      </c>
      <c r="AG150" s="33" t="s">
        <v>506</v>
      </c>
      <c r="AH150" s="40">
        <v>1.2</v>
      </c>
      <c r="AI150" s="33"/>
    </row>
    <row r="151" spans="1:35" ht="63">
      <c r="A151" s="33"/>
      <c r="B151" s="39" t="s">
        <v>537</v>
      </c>
      <c r="C151" s="39"/>
      <c r="D151" s="39"/>
      <c r="E151" s="39"/>
      <c r="F151" s="39"/>
      <c r="G151" s="39"/>
      <c r="H151" s="39"/>
      <c r="I151" s="76"/>
      <c r="J151" s="39"/>
      <c r="K151" s="33">
        <v>1970</v>
      </c>
      <c r="L151" s="33">
        <v>20</v>
      </c>
      <c r="M151" s="33" t="s">
        <v>503</v>
      </c>
      <c r="N151" s="33" t="s">
        <v>533</v>
      </c>
      <c r="O151" s="33">
        <v>0.7</v>
      </c>
      <c r="P151" s="39"/>
      <c r="Q151" s="63">
        <f>R151+S151+T151</f>
        <v>0.49</v>
      </c>
      <c r="R151" s="63">
        <v>0.071</v>
      </c>
      <c r="S151" s="63">
        <v>0.124</v>
      </c>
      <c r="T151" s="40">
        <v>0.295</v>
      </c>
      <c r="U151" s="39"/>
      <c r="V151" s="63"/>
      <c r="W151" s="40"/>
      <c r="X151" s="63"/>
      <c r="Y151" s="63"/>
      <c r="Z151" s="60"/>
      <c r="AA151" s="60"/>
      <c r="AB151" s="60"/>
      <c r="AC151" s="60"/>
      <c r="AD151" s="33">
        <v>2013</v>
      </c>
      <c r="AE151" s="33">
        <v>15</v>
      </c>
      <c r="AF151" s="33" t="s">
        <v>505</v>
      </c>
      <c r="AG151" s="33" t="s">
        <v>506</v>
      </c>
      <c r="AH151" s="40">
        <v>0.7</v>
      </c>
      <c r="AI151" s="33"/>
    </row>
    <row r="152" spans="1:35" ht="15.75">
      <c r="A152" s="616"/>
      <c r="B152" s="62" t="s">
        <v>377</v>
      </c>
      <c r="C152" s="39"/>
      <c r="D152" s="39"/>
      <c r="E152" s="39"/>
      <c r="F152" s="39"/>
      <c r="G152" s="39"/>
      <c r="H152" s="39"/>
      <c r="I152" s="76"/>
      <c r="J152" s="39"/>
      <c r="K152" s="33"/>
      <c r="L152" s="33"/>
      <c r="M152" s="39"/>
      <c r="N152" s="39"/>
      <c r="O152" s="33"/>
      <c r="P152" s="39"/>
      <c r="Q152" s="63"/>
      <c r="R152" s="63"/>
      <c r="S152" s="63"/>
      <c r="T152" s="40"/>
      <c r="U152" s="39"/>
      <c r="V152" s="76"/>
      <c r="W152" s="77"/>
      <c r="X152" s="76"/>
      <c r="Y152" s="39"/>
      <c r="Z152" s="60"/>
      <c r="AA152" s="60"/>
      <c r="AB152" s="60"/>
      <c r="AC152" s="60"/>
      <c r="AD152" s="33"/>
      <c r="AE152" s="33"/>
      <c r="AF152" s="60"/>
      <c r="AG152" s="33"/>
      <c r="AH152" s="40"/>
      <c r="AI152" s="33"/>
    </row>
    <row r="153" spans="1:35" ht="15.75">
      <c r="A153" s="616"/>
      <c r="B153" s="30" t="s">
        <v>511</v>
      </c>
      <c r="C153" s="39"/>
      <c r="D153" s="39"/>
      <c r="E153" s="39"/>
      <c r="F153" s="39"/>
      <c r="G153" s="39"/>
      <c r="H153" s="39"/>
      <c r="I153" s="76"/>
      <c r="J153" s="39"/>
      <c r="K153" s="33"/>
      <c r="L153" s="33"/>
      <c r="M153" s="39"/>
      <c r="N153" s="39"/>
      <c r="O153" s="33"/>
      <c r="P153" s="39"/>
      <c r="Q153" s="63"/>
      <c r="R153" s="63"/>
      <c r="S153" s="63"/>
      <c r="T153" s="40"/>
      <c r="U153" s="39"/>
      <c r="V153" s="76"/>
      <c r="W153" s="77"/>
      <c r="X153" s="76"/>
      <c r="Y153" s="39"/>
      <c r="Z153" s="60"/>
      <c r="AA153" s="60"/>
      <c r="AB153" s="60"/>
      <c r="AC153" s="60"/>
      <c r="AD153" s="33"/>
      <c r="AE153" s="33"/>
      <c r="AF153" s="60"/>
      <c r="AG153" s="33"/>
      <c r="AH153" s="40"/>
      <c r="AI153" s="33"/>
    </row>
    <row r="154" spans="1:35" ht="63">
      <c r="A154" s="33"/>
      <c r="B154" s="39" t="s">
        <v>538</v>
      </c>
      <c r="C154" s="39"/>
      <c r="D154" s="39"/>
      <c r="E154" s="39"/>
      <c r="F154" s="39"/>
      <c r="G154" s="39"/>
      <c r="H154" s="39"/>
      <c r="I154" s="76"/>
      <c r="J154" s="39"/>
      <c r="K154" s="33">
        <v>1973</v>
      </c>
      <c r="L154" s="33">
        <v>16.7</v>
      </c>
      <c r="M154" s="33" t="s">
        <v>503</v>
      </c>
      <c r="N154" s="39" t="s">
        <v>510</v>
      </c>
      <c r="O154" s="40">
        <v>1.225</v>
      </c>
      <c r="P154" s="39"/>
      <c r="Q154" s="63">
        <f>R154+S154+T154</f>
        <v>0.858</v>
      </c>
      <c r="R154" s="63">
        <v>0.124</v>
      </c>
      <c r="S154" s="63">
        <v>0.217</v>
      </c>
      <c r="T154" s="40">
        <v>0.517</v>
      </c>
      <c r="U154" s="39"/>
      <c r="V154" s="63"/>
      <c r="W154" s="40"/>
      <c r="X154" s="63"/>
      <c r="Y154" s="63"/>
      <c r="Z154" s="60"/>
      <c r="AA154" s="60"/>
      <c r="AB154" s="60"/>
      <c r="AC154" s="60"/>
      <c r="AD154" s="33">
        <v>2013</v>
      </c>
      <c r="AE154" s="33">
        <v>15</v>
      </c>
      <c r="AF154" s="33" t="s">
        <v>505</v>
      </c>
      <c r="AG154" s="33" t="s">
        <v>539</v>
      </c>
      <c r="AH154" s="40">
        <v>1.225</v>
      </c>
      <c r="AI154" s="33"/>
    </row>
    <row r="155" spans="1:35" ht="63">
      <c r="A155" s="33"/>
      <c r="B155" s="39" t="s">
        <v>540</v>
      </c>
      <c r="C155" s="39"/>
      <c r="D155" s="39"/>
      <c r="E155" s="39"/>
      <c r="F155" s="39"/>
      <c r="G155" s="39"/>
      <c r="H155" s="39"/>
      <c r="I155" s="76"/>
      <c r="J155" s="39"/>
      <c r="K155" s="33">
        <v>1962</v>
      </c>
      <c r="L155" s="33">
        <v>16.7</v>
      </c>
      <c r="M155" s="39" t="s">
        <v>541</v>
      </c>
      <c r="N155" s="39" t="s">
        <v>533</v>
      </c>
      <c r="O155" s="33">
        <v>1.2</v>
      </c>
      <c r="P155" s="39"/>
      <c r="Q155" s="63">
        <f>R155+S155+T155</f>
        <v>0.84</v>
      </c>
      <c r="R155" s="63">
        <v>0.121</v>
      </c>
      <c r="S155" s="63">
        <v>0.213</v>
      </c>
      <c r="T155" s="40">
        <v>0.506</v>
      </c>
      <c r="U155" s="39"/>
      <c r="V155" s="63"/>
      <c r="W155" s="40"/>
      <c r="X155" s="63"/>
      <c r="Y155" s="63"/>
      <c r="Z155" s="60"/>
      <c r="AA155" s="60"/>
      <c r="AB155" s="60"/>
      <c r="AC155" s="60"/>
      <c r="AD155" s="33">
        <v>2013</v>
      </c>
      <c r="AE155" s="33">
        <v>15</v>
      </c>
      <c r="AF155" s="33" t="s">
        <v>505</v>
      </c>
      <c r="AG155" s="33" t="s">
        <v>539</v>
      </c>
      <c r="AH155" s="40">
        <v>1.2</v>
      </c>
      <c r="AI155" s="33"/>
    </row>
    <row r="156" spans="1:35" ht="63">
      <c r="A156" s="33"/>
      <c r="B156" s="39" t="s">
        <v>542</v>
      </c>
      <c r="C156" s="39"/>
      <c r="D156" s="39"/>
      <c r="E156" s="39"/>
      <c r="F156" s="39"/>
      <c r="G156" s="39"/>
      <c r="H156" s="39"/>
      <c r="I156" s="76"/>
      <c r="J156" s="39"/>
      <c r="K156" s="33">
        <v>1960</v>
      </c>
      <c r="L156" s="33">
        <v>16.7</v>
      </c>
      <c r="M156" s="39" t="s">
        <v>503</v>
      </c>
      <c r="N156" s="39" t="s">
        <v>510</v>
      </c>
      <c r="O156" s="33">
        <v>0.93</v>
      </c>
      <c r="P156" s="39"/>
      <c r="Q156" s="63">
        <f>R156+S156+T156</f>
        <v>0.651</v>
      </c>
      <c r="R156" s="63">
        <v>0.094</v>
      </c>
      <c r="S156" s="63">
        <v>0.165</v>
      </c>
      <c r="T156" s="40">
        <v>0.392</v>
      </c>
      <c r="U156" s="39"/>
      <c r="V156" s="63"/>
      <c r="W156" s="40"/>
      <c r="X156" s="63"/>
      <c r="Y156" s="63"/>
      <c r="Z156" s="60"/>
      <c r="AA156" s="60"/>
      <c r="AB156" s="60"/>
      <c r="AC156" s="60"/>
      <c r="AD156" s="33">
        <v>2013</v>
      </c>
      <c r="AE156" s="33">
        <v>15</v>
      </c>
      <c r="AF156" s="33" t="s">
        <v>505</v>
      </c>
      <c r="AG156" s="33" t="s">
        <v>539</v>
      </c>
      <c r="AH156" s="40">
        <v>0.93</v>
      </c>
      <c r="AI156" s="33"/>
    </row>
    <row r="157" spans="1:35" ht="31.5">
      <c r="A157" s="33"/>
      <c r="B157" s="39" t="s">
        <v>543</v>
      </c>
      <c r="C157" s="39"/>
      <c r="D157" s="39"/>
      <c r="E157" s="39"/>
      <c r="F157" s="39"/>
      <c r="G157" s="39"/>
      <c r="H157" s="39"/>
      <c r="I157" s="76"/>
      <c r="J157" s="39"/>
      <c r="K157" s="33">
        <v>1955</v>
      </c>
      <c r="L157" s="33">
        <v>33.3</v>
      </c>
      <c r="M157" s="33" t="s">
        <v>461</v>
      </c>
      <c r="N157" s="33" t="s">
        <v>544</v>
      </c>
      <c r="O157" s="33">
        <v>0.35</v>
      </c>
      <c r="P157" s="39"/>
      <c r="Q157" s="63">
        <f>R157+S157+T157</f>
        <v>0.33699999999999997</v>
      </c>
      <c r="R157" s="63">
        <v>0.041</v>
      </c>
      <c r="S157" s="63">
        <v>0.047</v>
      </c>
      <c r="T157" s="40">
        <v>0.249</v>
      </c>
      <c r="U157" s="39"/>
      <c r="V157" s="63"/>
      <c r="W157" s="40"/>
      <c r="X157" s="63"/>
      <c r="Y157" s="63"/>
      <c r="Z157" s="60"/>
      <c r="AA157" s="60"/>
      <c r="AB157" s="60"/>
      <c r="AC157" s="60"/>
      <c r="AD157" s="33">
        <v>2013</v>
      </c>
      <c r="AE157" s="33">
        <v>15</v>
      </c>
      <c r="AF157" s="33" t="s">
        <v>522</v>
      </c>
      <c r="AG157" s="33" t="s">
        <v>523</v>
      </c>
      <c r="AH157" s="40">
        <v>0.35</v>
      </c>
      <c r="AI157" s="33"/>
    </row>
    <row r="158" spans="1:35" ht="15.75">
      <c r="A158" s="616"/>
      <c r="B158" s="62" t="s">
        <v>378</v>
      </c>
      <c r="C158" s="39"/>
      <c r="D158" s="39"/>
      <c r="E158" s="39"/>
      <c r="F158" s="39"/>
      <c r="G158" s="39"/>
      <c r="H158" s="39"/>
      <c r="I158" s="76"/>
      <c r="J158" s="39"/>
      <c r="K158" s="33"/>
      <c r="L158" s="33"/>
      <c r="M158" s="33"/>
      <c r="N158" s="33"/>
      <c r="O158" s="33"/>
      <c r="P158" s="39"/>
      <c r="Q158" s="63"/>
      <c r="R158" s="63"/>
      <c r="S158" s="63"/>
      <c r="T158" s="40"/>
      <c r="U158" s="39"/>
      <c r="V158" s="76"/>
      <c r="W158" s="77"/>
      <c r="X158" s="76"/>
      <c r="Y158" s="39"/>
      <c r="Z158" s="60"/>
      <c r="AA158" s="60"/>
      <c r="AB158" s="60"/>
      <c r="AC158" s="60"/>
      <c r="AD158" s="33"/>
      <c r="AE158" s="33"/>
      <c r="AF158" s="60"/>
      <c r="AG158" s="33"/>
      <c r="AH158" s="40"/>
      <c r="AI158" s="33"/>
    </row>
    <row r="159" spans="1:35" ht="15.75">
      <c r="A159" s="616"/>
      <c r="B159" s="30" t="s">
        <v>511</v>
      </c>
      <c r="C159" s="39"/>
      <c r="D159" s="39"/>
      <c r="E159" s="39"/>
      <c r="F159" s="39"/>
      <c r="G159" s="39"/>
      <c r="H159" s="39"/>
      <c r="I159" s="76"/>
      <c r="J159" s="39"/>
      <c r="K159" s="33"/>
      <c r="L159" s="33"/>
      <c r="M159" s="33"/>
      <c r="N159" s="33"/>
      <c r="O159" s="33"/>
      <c r="P159" s="39"/>
      <c r="Q159" s="63"/>
      <c r="R159" s="63"/>
      <c r="S159" s="63"/>
      <c r="T159" s="40"/>
      <c r="U159" s="39"/>
      <c r="V159" s="76"/>
      <c r="W159" s="77"/>
      <c r="X159" s="76"/>
      <c r="Y159" s="39"/>
      <c r="Z159" s="60"/>
      <c r="AA159" s="60"/>
      <c r="AB159" s="60"/>
      <c r="AC159" s="60"/>
      <c r="AD159" s="33"/>
      <c r="AE159" s="33"/>
      <c r="AF159" s="60"/>
      <c r="AG159" s="33"/>
      <c r="AH159" s="40"/>
      <c r="AI159" s="33"/>
    </row>
    <row r="160" spans="1:35" ht="47.25">
      <c r="A160" s="33"/>
      <c r="B160" s="39" t="s">
        <v>545</v>
      </c>
      <c r="C160" s="39"/>
      <c r="D160" s="39"/>
      <c r="E160" s="39"/>
      <c r="F160" s="39"/>
      <c r="G160" s="39"/>
      <c r="H160" s="39"/>
      <c r="I160" s="76"/>
      <c r="J160" s="39"/>
      <c r="K160" s="33">
        <v>1973</v>
      </c>
      <c r="L160" s="33">
        <v>33</v>
      </c>
      <c r="M160" s="33" t="s">
        <v>461</v>
      </c>
      <c r="N160" s="33" t="s">
        <v>533</v>
      </c>
      <c r="O160" s="40">
        <v>0.62</v>
      </c>
      <c r="P160" s="39"/>
      <c r="Q160" s="63">
        <f>S160+T160</f>
        <v>0.372</v>
      </c>
      <c r="R160" s="63">
        <v>0.063</v>
      </c>
      <c r="S160" s="63">
        <v>0.11</v>
      </c>
      <c r="T160" s="40">
        <v>0.262</v>
      </c>
      <c r="U160" s="76"/>
      <c r="V160" s="63"/>
      <c r="W160" s="40"/>
      <c r="X160" s="63"/>
      <c r="Y160" s="63"/>
      <c r="Z160" s="60"/>
      <c r="AA160" s="60"/>
      <c r="AB160" s="60"/>
      <c r="AC160" s="60"/>
      <c r="AD160" s="33">
        <v>2013</v>
      </c>
      <c r="AE160" s="33">
        <v>15</v>
      </c>
      <c r="AF160" s="33" t="s">
        <v>505</v>
      </c>
      <c r="AG160" s="33" t="s">
        <v>506</v>
      </c>
      <c r="AH160" s="40">
        <v>0.62</v>
      </c>
      <c r="AI160" s="33"/>
    </row>
    <row r="161" spans="1:35" ht="47.25">
      <c r="A161" s="33"/>
      <c r="B161" s="39" t="s">
        <v>546</v>
      </c>
      <c r="C161" s="39"/>
      <c r="D161" s="39"/>
      <c r="E161" s="39"/>
      <c r="F161" s="39"/>
      <c r="G161" s="39"/>
      <c r="H161" s="39"/>
      <c r="I161" s="76"/>
      <c r="J161" s="39"/>
      <c r="K161" s="33">
        <v>1973</v>
      </c>
      <c r="L161" s="33">
        <v>33</v>
      </c>
      <c r="M161" s="33" t="s">
        <v>461</v>
      </c>
      <c r="N161" s="33" t="s">
        <v>510</v>
      </c>
      <c r="O161" s="33">
        <v>2.7</v>
      </c>
      <c r="P161" s="39"/>
      <c r="Q161" s="63">
        <f>S161+T161</f>
        <v>1.6179999999999999</v>
      </c>
      <c r="R161" s="63">
        <v>0.273</v>
      </c>
      <c r="S161" s="63">
        <v>0.479</v>
      </c>
      <c r="T161" s="40">
        <v>1.139</v>
      </c>
      <c r="U161" s="76"/>
      <c r="V161" s="63"/>
      <c r="W161" s="40"/>
      <c r="X161" s="63"/>
      <c r="Y161" s="63"/>
      <c r="Z161" s="60"/>
      <c r="AA161" s="60"/>
      <c r="AB161" s="60"/>
      <c r="AC161" s="60"/>
      <c r="AD161" s="33">
        <v>2013</v>
      </c>
      <c r="AE161" s="33">
        <v>15</v>
      </c>
      <c r="AF161" s="33" t="s">
        <v>505</v>
      </c>
      <c r="AG161" s="33" t="s">
        <v>506</v>
      </c>
      <c r="AH161" s="40">
        <v>2.7</v>
      </c>
      <c r="AI161" s="33"/>
    </row>
    <row r="162" spans="1:35" ht="110.25">
      <c r="A162" s="33"/>
      <c r="B162" s="39" t="s">
        <v>547</v>
      </c>
      <c r="C162" s="39"/>
      <c r="D162" s="39"/>
      <c r="E162" s="39"/>
      <c r="F162" s="39"/>
      <c r="G162" s="39"/>
      <c r="H162" s="39"/>
      <c r="I162" s="76"/>
      <c r="J162" s="39"/>
      <c r="K162" s="33">
        <v>1972</v>
      </c>
      <c r="L162" s="33">
        <v>33</v>
      </c>
      <c r="M162" s="33" t="s">
        <v>461</v>
      </c>
      <c r="N162" s="33" t="s">
        <v>510</v>
      </c>
      <c r="O162" s="33">
        <v>0.88</v>
      </c>
      <c r="P162" s="39"/>
      <c r="Q162" s="63">
        <f>S162+T162</f>
        <v>0.527</v>
      </c>
      <c r="R162" s="63">
        <v>0.089</v>
      </c>
      <c r="S162" s="63">
        <v>0.156</v>
      </c>
      <c r="T162" s="40">
        <v>0.371</v>
      </c>
      <c r="U162" s="76"/>
      <c r="V162" s="63"/>
      <c r="W162" s="40"/>
      <c r="X162" s="63"/>
      <c r="Y162" s="63"/>
      <c r="Z162" s="60"/>
      <c r="AA162" s="60"/>
      <c r="AB162" s="60"/>
      <c r="AC162" s="60"/>
      <c r="AD162" s="33">
        <v>2013</v>
      </c>
      <c r="AE162" s="33">
        <v>15</v>
      </c>
      <c r="AF162" s="33" t="s">
        <v>505</v>
      </c>
      <c r="AG162" s="33" t="s">
        <v>548</v>
      </c>
      <c r="AH162" s="40">
        <v>0.88</v>
      </c>
      <c r="AI162" s="33"/>
    </row>
    <row r="163" spans="1:35" ht="15.75">
      <c r="A163" s="616"/>
      <c r="B163" s="62" t="s">
        <v>358</v>
      </c>
      <c r="C163" s="39"/>
      <c r="D163" s="39"/>
      <c r="E163" s="39"/>
      <c r="F163" s="39"/>
      <c r="G163" s="39"/>
      <c r="H163" s="39"/>
      <c r="I163" s="76"/>
      <c r="J163" s="39"/>
      <c r="K163" s="33"/>
      <c r="L163" s="33"/>
      <c r="M163" s="33"/>
      <c r="N163" s="33"/>
      <c r="O163" s="33"/>
      <c r="P163" s="39"/>
      <c r="Q163" s="63"/>
      <c r="R163" s="63"/>
      <c r="S163" s="63"/>
      <c r="T163" s="40"/>
      <c r="U163" s="39"/>
      <c r="V163" s="76"/>
      <c r="W163" s="77"/>
      <c r="X163" s="76"/>
      <c r="Y163" s="39"/>
      <c r="Z163" s="60"/>
      <c r="AA163" s="60"/>
      <c r="AB163" s="60"/>
      <c r="AC163" s="60"/>
      <c r="AD163" s="33"/>
      <c r="AE163" s="33"/>
      <c r="AF163" s="60"/>
      <c r="AG163" s="33"/>
      <c r="AH163" s="40"/>
      <c r="AI163" s="33"/>
    </row>
    <row r="164" spans="1:35" ht="15.75">
      <c r="A164" s="616"/>
      <c r="B164" s="30" t="s">
        <v>501</v>
      </c>
      <c r="C164" s="39"/>
      <c r="D164" s="39"/>
      <c r="E164" s="39"/>
      <c r="F164" s="39"/>
      <c r="G164" s="39"/>
      <c r="H164" s="39"/>
      <c r="I164" s="76"/>
      <c r="J164" s="39"/>
      <c r="K164" s="33"/>
      <c r="L164" s="33"/>
      <c r="M164" s="33"/>
      <c r="N164" s="33"/>
      <c r="O164" s="33"/>
      <c r="P164" s="39"/>
      <c r="Q164" s="63"/>
      <c r="R164" s="63"/>
      <c r="S164" s="63"/>
      <c r="T164" s="40"/>
      <c r="U164" s="39"/>
      <c r="V164" s="76"/>
      <c r="W164" s="77"/>
      <c r="X164" s="76"/>
      <c r="Y164" s="39"/>
      <c r="Z164" s="60"/>
      <c r="AA164" s="60"/>
      <c r="AB164" s="60"/>
      <c r="AC164" s="60"/>
      <c r="AD164" s="33"/>
      <c r="AE164" s="33"/>
      <c r="AF164" s="60"/>
      <c r="AG164" s="33"/>
      <c r="AH164" s="40"/>
      <c r="AI164" s="33"/>
    </row>
    <row r="165" spans="1:35" ht="47.25">
      <c r="A165" s="33"/>
      <c r="B165" s="39" t="s">
        <v>549</v>
      </c>
      <c r="C165" s="39"/>
      <c r="D165" s="39"/>
      <c r="E165" s="39"/>
      <c r="F165" s="39"/>
      <c r="G165" s="39"/>
      <c r="H165" s="39"/>
      <c r="I165" s="76"/>
      <c r="J165" s="39"/>
      <c r="K165" s="33">
        <v>1979</v>
      </c>
      <c r="L165" s="33">
        <v>33</v>
      </c>
      <c r="M165" s="33" t="s">
        <v>461</v>
      </c>
      <c r="N165" s="33" t="s">
        <v>510</v>
      </c>
      <c r="O165" s="33">
        <v>0.6</v>
      </c>
      <c r="P165" s="39"/>
      <c r="Q165" s="63">
        <f>R165+S165+T165</f>
        <v>0.42</v>
      </c>
      <c r="R165" s="63">
        <v>0.061</v>
      </c>
      <c r="S165" s="63">
        <v>0.106</v>
      </c>
      <c r="T165" s="40">
        <v>0.253</v>
      </c>
      <c r="U165" s="39"/>
      <c r="V165" s="63"/>
      <c r="W165" s="40"/>
      <c r="X165" s="63"/>
      <c r="Y165" s="63"/>
      <c r="Z165" s="60"/>
      <c r="AA165" s="60"/>
      <c r="AB165" s="60"/>
      <c r="AC165" s="60"/>
      <c r="AD165" s="33">
        <v>2013</v>
      </c>
      <c r="AE165" s="33">
        <v>15</v>
      </c>
      <c r="AF165" s="33" t="s">
        <v>505</v>
      </c>
      <c r="AG165" s="33" t="s">
        <v>539</v>
      </c>
      <c r="AH165" s="40">
        <v>0.6</v>
      </c>
      <c r="AI165" s="33"/>
    </row>
    <row r="166" spans="1:35" ht="47.25">
      <c r="A166" s="33"/>
      <c r="B166" s="39" t="s">
        <v>550</v>
      </c>
      <c r="C166" s="39"/>
      <c r="D166" s="39"/>
      <c r="E166" s="39"/>
      <c r="F166" s="39"/>
      <c r="G166" s="39"/>
      <c r="H166" s="39"/>
      <c r="I166" s="76"/>
      <c r="J166" s="39"/>
      <c r="K166" s="33">
        <v>1967</v>
      </c>
      <c r="L166" s="33">
        <v>33</v>
      </c>
      <c r="M166" s="33" t="s">
        <v>461</v>
      </c>
      <c r="N166" s="33" t="s">
        <v>510</v>
      </c>
      <c r="O166" s="33">
        <v>0.56</v>
      </c>
      <c r="P166" s="39"/>
      <c r="Q166" s="63">
        <f>R166+S166+T166</f>
        <v>0.391</v>
      </c>
      <c r="R166" s="63">
        <v>0.056</v>
      </c>
      <c r="S166" s="63">
        <v>0.099</v>
      </c>
      <c r="T166" s="40">
        <v>0.236</v>
      </c>
      <c r="U166" s="39"/>
      <c r="V166" s="63"/>
      <c r="W166" s="40"/>
      <c r="X166" s="63"/>
      <c r="Y166" s="63"/>
      <c r="Z166" s="60"/>
      <c r="AA166" s="60"/>
      <c r="AB166" s="60"/>
      <c r="AC166" s="60"/>
      <c r="AD166" s="33">
        <v>2013</v>
      </c>
      <c r="AE166" s="33">
        <v>15</v>
      </c>
      <c r="AF166" s="33" t="s">
        <v>505</v>
      </c>
      <c r="AG166" s="33" t="s">
        <v>539</v>
      </c>
      <c r="AH166" s="40">
        <v>0.56</v>
      </c>
      <c r="AI166" s="33"/>
    </row>
    <row r="167" spans="1:35" ht="63">
      <c r="A167" s="33"/>
      <c r="B167" s="39" t="s">
        <v>551</v>
      </c>
      <c r="C167" s="39"/>
      <c r="D167" s="39"/>
      <c r="E167" s="39"/>
      <c r="F167" s="39"/>
      <c r="G167" s="39"/>
      <c r="H167" s="39"/>
      <c r="I167" s="76"/>
      <c r="J167" s="39"/>
      <c r="K167" s="33">
        <v>1960</v>
      </c>
      <c r="L167" s="33">
        <v>33</v>
      </c>
      <c r="M167" s="39" t="s">
        <v>541</v>
      </c>
      <c r="N167" s="33" t="s">
        <v>510</v>
      </c>
      <c r="O167" s="33">
        <v>0.66</v>
      </c>
      <c r="P167" s="39"/>
      <c r="Q167" s="63">
        <f>R167+S167+T167</f>
        <v>0.462</v>
      </c>
      <c r="R167" s="63">
        <v>0.067</v>
      </c>
      <c r="S167" s="63">
        <v>0.117</v>
      </c>
      <c r="T167" s="40">
        <v>0.278</v>
      </c>
      <c r="U167" s="39"/>
      <c r="V167" s="63"/>
      <c r="W167" s="40"/>
      <c r="X167" s="63"/>
      <c r="Y167" s="63"/>
      <c r="Z167" s="60"/>
      <c r="AA167" s="60"/>
      <c r="AB167" s="60"/>
      <c r="AC167" s="60"/>
      <c r="AD167" s="33">
        <v>2013</v>
      </c>
      <c r="AE167" s="33">
        <v>15</v>
      </c>
      <c r="AF167" s="33" t="s">
        <v>505</v>
      </c>
      <c r="AG167" s="33" t="s">
        <v>539</v>
      </c>
      <c r="AH167" s="40">
        <v>0.66</v>
      </c>
      <c r="AI167" s="33"/>
    </row>
    <row r="168" spans="1:35" ht="47.25">
      <c r="A168" s="33"/>
      <c r="B168" s="39" t="s">
        <v>552</v>
      </c>
      <c r="C168" s="39"/>
      <c r="D168" s="39"/>
      <c r="E168" s="39"/>
      <c r="F168" s="39"/>
      <c r="G168" s="39"/>
      <c r="H168" s="39"/>
      <c r="I168" s="76"/>
      <c r="J168" s="39"/>
      <c r="K168" s="33">
        <v>1976</v>
      </c>
      <c r="L168" s="33">
        <v>33</v>
      </c>
      <c r="M168" s="33" t="s">
        <v>461</v>
      </c>
      <c r="N168" s="33" t="s">
        <v>510</v>
      </c>
      <c r="O168" s="33">
        <v>0.75</v>
      </c>
      <c r="P168" s="39"/>
      <c r="Q168" s="63">
        <f>R168+S168+T168</f>
        <v>0.525</v>
      </c>
      <c r="R168" s="63">
        <v>0.076</v>
      </c>
      <c r="S168" s="63">
        <v>0.133</v>
      </c>
      <c r="T168" s="40">
        <v>0.316</v>
      </c>
      <c r="U168" s="39"/>
      <c r="V168" s="63"/>
      <c r="W168" s="40"/>
      <c r="X168" s="63"/>
      <c r="Y168" s="63"/>
      <c r="Z168" s="60"/>
      <c r="AA168" s="60"/>
      <c r="AB168" s="60"/>
      <c r="AC168" s="60"/>
      <c r="AD168" s="33">
        <v>2013</v>
      </c>
      <c r="AE168" s="33">
        <v>15</v>
      </c>
      <c r="AF168" s="33" t="s">
        <v>522</v>
      </c>
      <c r="AG168" s="33" t="s">
        <v>539</v>
      </c>
      <c r="AH168" s="40">
        <v>0.75</v>
      </c>
      <c r="AI168" s="33"/>
    </row>
    <row r="169" spans="1:35" ht="15.75">
      <c r="A169" s="37"/>
      <c r="B169" s="30" t="s">
        <v>360</v>
      </c>
      <c r="C169" s="30"/>
      <c r="D169" s="30"/>
      <c r="E169" s="30"/>
      <c r="F169" s="30"/>
      <c r="G169" s="30"/>
      <c r="H169" s="60"/>
      <c r="I169" s="60"/>
      <c r="J169" s="30"/>
      <c r="K169" s="80"/>
      <c r="L169" s="80"/>
      <c r="M169" s="80"/>
      <c r="N169" s="30"/>
      <c r="O169" s="34">
        <f>SUM(O123:O168)</f>
        <v>28.145</v>
      </c>
      <c r="P169" s="30"/>
      <c r="Q169" s="34">
        <f>SUM(Q123:Q168)</f>
        <v>19.6007</v>
      </c>
      <c r="R169" s="34"/>
      <c r="S169" s="34"/>
      <c r="T169" s="34"/>
      <c r="U169" s="30"/>
      <c r="V169" s="34"/>
      <c r="W169" s="30"/>
      <c r="X169" s="30"/>
      <c r="Y169" s="30"/>
      <c r="Z169" s="60"/>
      <c r="AA169" s="60"/>
      <c r="AB169" s="60"/>
      <c r="AC169" s="60"/>
      <c r="AD169" s="60"/>
      <c r="AE169" s="60"/>
      <c r="AF169" s="60"/>
      <c r="AG169" s="80"/>
      <c r="AH169" s="34">
        <f>SUM(AH123:AH168)</f>
        <v>28.145</v>
      </c>
      <c r="AI169" s="60"/>
    </row>
    <row r="170" spans="1:35" ht="15.75">
      <c r="A170" s="37"/>
      <c r="B170" s="30" t="s">
        <v>362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628">
        <f>O169+O120</f>
        <v>37.854</v>
      </c>
      <c r="P170" s="34"/>
      <c r="Q170" s="628">
        <f>Q169+Q120</f>
        <v>26.386699999999998</v>
      </c>
      <c r="R170" s="34"/>
      <c r="S170" s="34"/>
      <c r="T170" s="34"/>
      <c r="U170" s="34"/>
      <c r="V170" s="628"/>
      <c r="W170" s="34"/>
      <c r="X170" s="34"/>
      <c r="Y170" s="34"/>
      <c r="Z170" s="66"/>
      <c r="AA170" s="66"/>
      <c r="AB170" s="66"/>
      <c r="AC170" s="66"/>
      <c r="AD170" s="66"/>
      <c r="AE170" s="66"/>
      <c r="AF170" s="66"/>
      <c r="AG170" s="66"/>
      <c r="AH170" s="628">
        <f>AH169+AH120</f>
        <v>37.854</v>
      </c>
      <c r="AI170" s="60"/>
    </row>
    <row r="171" spans="1:35" ht="18.75">
      <c r="A171" s="37" t="s">
        <v>292</v>
      </c>
      <c r="B171" s="615" t="s">
        <v>293</v>
      </c>
      <c r="C171" s="39"/>
      <c r="D171" s="39"/>
      <c r="E171" s="39"/>
      <c r="F171" s="39"/>
      <c r="G171" s="39"/>
      <c r="H171" s="39"/>
      <c r="I171" s="67"/>
      <c r="J171" s="67"/>
      <c r="K171" s="39"/>
      <c r="L171" s="39"/>
      <c r="M171" s="39"/>
      <c r="N171" s="39"/>
      <c r="O171" s="67"/>
      <c r="P171" s="67"/>
      <c r="Q171" s="67"/>
      <c r="R171" s="39"/>
      <c r="S171" s="39"/>
      <c r="T171" s="39"/>
      <c r="U171" s="39"/>
      <c r="V171" s="39"/>
      <c r="W171" s="39"/>
      <c r="X171" s="39"/>
      <c r="Y171" s="39"/>
      <c r="Z171" s="60"/>
      <c r="AA171" s="60"/>
      <c r="AB171" s="67"/>
      <c r="AC171" s="67"/>
      <c r="AD171" s="60"/>
      <c r="AE171" s="60"/>
      <c r="AF171" s="60"/>
      <c r="AG171" s="60"/>
      <c r="AH171" s="60"/>
      <c r="AI171" s="60"/>
    </row>
    <row r="172" spans="1:35" ht="15.75">
      <c r="A172" s="37" t="s">
        <v>33</v>
      </c>
      <c r="B172" s="39" t="s">
        <v>553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</row>
    <row r="173" spans="1:35" ht="15.75">
      <c r="A173" s="33"/>
      <c r="B173" s="39" t="s">
        <v>554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3" t="s">
        <v>559</v>
      </c>
      <c r="Q173" s="63">
        <f>0.0034/1.18/2</f>
        <v>0.001440677966101695</v>
      </c>
      <c r="R173" s="39"/>
      <c r="S173" s="76"/>
      <c r="T173" s="39"/>
      <c r="U173" s="63"/>
      <c r="V173" s="39"/>
      <c r="W173" s="39"/>
      <c r="X173" s="39"/>
      <c r="Y173" s="39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</row>
    <row r="174" spans="1:35" ht="15.75">
      <c r="A174" s="33"/>
      <c r="B174" s="39" t="s">
        <v>556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3" t="s">
        <v>559</v>
      </c>
      <c r="Q174" s="63">
        <f>0.0034/1.18/2</f>
        <v>0.001440677966101695</v>
      </c>
      <c r="R174" s="39"/>
      <c r="S174" s="76"/>
      <c r="T174" s="39"/>
      <c r="U174" s="63"/>
      <c r="V174" s="39"/>
      <c r="W174" s="39"/>
      <c r="X174" s="39"/>
      <c r="Y174" s="39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</row>
    <row r="175" spans="1:35" ht="15.75">
      <c r="A175" s="33"/>
      <c r="B175" s="39" t="s">
        <v>557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3" t="s">
        <v>397</v>
      </c>
      <c r="Q175" s="63">
        <f>0.017/1.18</f>
        <v>0.014406779661016951</v>
      </c>
      <c r="R175" s="39"/>
      <c r="S175" s="76"/>
      <c r="T175" s="39"/>
      <c r="U175" s="63"/>
      <c r="V175" s="76"/>
      <c r="W175" s="39"/>
      <c r="X175" s="39"/>
      <c r="Y175" s="39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</row>
    <row r="176" spans="1:35" ht="15.75">
      <c r="A176" s="33"/>
      <c r="B176" s="39" t="s">
        <v>558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3" t="s">
        <v>559</v>
      </c>
      <c r="Q176" s="63">
        <f>0.01242/1.18</f>
        <v>0.01052542372881356</v>
      </c>
      <c r="R176" s="39"/>
      <c r="S176" s="76"/>
      <c r="T176" s="39"/>
      <c r="U176" s="63"/>
      <c r="V176" s="39"/>
      <c r="W176" s="39"/>
      <c r="X176" s="39"/>
      <c r="Y176" s="39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</row>
    <row r="177" spans="1:35" ht="15.75">
      <c r="A177" s="33"/>
      <c r="B177" s="39" t="s">
        <v>560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3" t="s">
        <v>397</v>
      </c>
      <c r="Q177" s="63">
        <f>0.01/1.18/2</f>
        <v>0.00423728813559322</v>
      </c>
      <c r="R177" s="39"/>
      <c r="S177" s="76"/>
      <c r="T177" s="39"/>
      <c r="U177" s="63"/>
      <c r="V177" s="76"/>
      <c r="W177" s="39"/>
      <c r="X177" s="39"/>
      <c r="Y177" s="39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</row>
    <row r="178" spans="1:35" ht="15.75">
      <c r="A178" s="33"/>
      <c r="B178" s="39" t="s">
        <v>561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3" t="s">
        <v>397</v>
      </c>
      <c r="Q178" s="63">
        <f>0.0047104/1.18/2</f>
        <v>0.0019959322033898308</v>
      </c>
      <c r="R178" s="39"/>
      <c r="S178" s="76"/>
      <c r="T178" s="39"/>
      <c r="U178" s="63"/>
      <c r="V178" s="76"/>
      <c r="W178" s="39"/>
      <c r="X178" s="39"/>
      <c r="Y178" s="39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</row>
    <row r="179" spans="1:35" ht="15.75">
      <c r="A179" s="33"/>
      <c r="B179" s="39" t="s">
        <v>562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3" t="s">
        <v>397</v>
      </c>
      <c r="Q179" s="63">
        <f>0.013/1.18/2</f>
        <v>0.005508474576271186</v>
      </c>
      <c r="R179" s="39"/>
      <c r="S179" s="76"/>
      <c r="T179" s="39"/>
      <c r="U179" s="63"/>
      <c r="V179" s="76"/>
      <c r="W179" s="39"/>
      <c r="X179" s="39"/>
      <c r="Y179" s="39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</row>
    <row r="180" spans="1:35" ht="31.5">
      <c r="A180" s="33"/>
      <c r="B180" s="39" t="s">
        <v>563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3" t="s">
        <v>564</v>
      </c>
      <c r="Q180" s="63">
        <f>0.276/1.18</f>
        <v>0.2338983050847458</v>
      </c>
      <c r="R180" s="39"/>
      <c r="S180" s="76"/>
      <c r="T180" s="39"/>
      <c r="U180" s="63"/>
      <c r="V180" s="76"/>
      <c r="W180" s="39"/>
      <c r="X180" s="39"/>
      <c r="Y180" s="39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</row>
    <row r="181" spans="1:35" ht="15.75">
      <c r="A181" s="33"/>
      <c r="B181" s="39" t="s">
        <v>565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3" t="s">
        <v>564</v>
      </c>
      <c r="Q181" s="63">
        <f>0.04/1.18</f>
        <v>0.03389830508474576</v>
      </c>
      <c r="R181" s="39"/>
      <c r="S181" s="76"/>
      <c r="T181" s="39"/>
      <c r="U181" s="63"/>
      <c r="V181" s="76"/>
      <c r="W181" s="39"/>
      <c r="X181" s="39"/>
      <c r="Y181" s="39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</row>
    <row r="182" spans="1:35" ht="15.75">
      <c r="A182" s="33"/>
      <c r="B182" s="39" t="s">
        <v>566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3" t="s">
        <v>564</v>
      </c>
      <c r="Q182" s="63">
        <f>0.00966/1.18</f>
        <v>0.008186440677966103</v>
      </c>
      <c r="R182" s="39"/>
      <c r="S182" s="76"/>
      <c r="T182" s="39"/>
      <c r="U182" s="63"/>
      <c r="V182" s="76"/>
      <c r="W182" s="39"/>
      <c r="X182" s="39"/>
      <c r="Y182" s="39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</row>
    <row r="183" spans="1:35" ht="15.75">
      <c r="A183" s="33"/>
      <c r="B183" s="39" t="s">
        <v>567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3" t="s">
        <v>397</v>
      </c>
      <c r="Q183" s="63">
        <f>0.017/1.18</f>
        <v>0.014406779661016951</v>
      </c>
      <c r="R183" s="39"/>
      <c r="S183" s="76"/>
      <c r="T183" s="39"/>
      <c r="U183" s="63"/>
      <c r="V183" s="76"/>
      <c r="W183" s="39"/>
      <c r="X183" s="39"/>
      <c r="Y183" s="39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</row>
    <row r="184" spans="1:35" ht="15.75">
      <c r="A184" s="33"/>
      <c r="B184" s="39" t="s">
        <v>568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3" t="s">
        <v>397</v>
      </c>
      <c r="Q184" s="63">
        <f>0.07/1.18/2</f>
        <v>0.029661016949152547</v>
      </c>
      <c r="R184" s="39"/>
      <c r="S184" s="83"/>
      <c r="T184" s="39"/>
      <c r="U184" s="63"/>
      <c r="V184" s="76"/>
      <c r="W184" s="39"/>
      <c r="X184" s="39"/>
      <c r="Y184" s="39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</row>
    <row r="185" spans="1:35" ht="15.75">
      <c r="A185" s="33"/>
      <c r="B185" s="39" t="s">
        <v>569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 t="s">
        <v>564</v>
      </c>
      <c r="Q185" s="63">
        <f>0.16/1.18</f>
        <v>0.13559322033898305</v>
      </c>
      <c r="R185" s="33"/>
      <c r="S185" s="76"/>
      <c r="T185" s="33"/>
      <c r="U185" s="63"/>
      <c r="V185" s="76"/>
      <c r="W185" s="33"/>
      <c r="X185" s="33"/>
      <c r="Y185" s="33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</row>
    <row r="186" spans="1:35" ht="15.75">
      <c r="A186" s="33"/>
      <c r="B186" s="39" t="s">
        <v>570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 t="s">
        <v>399</v>
      </c>
      <c r="Q186" s="63">
        <f>0.0091/1.18/7*4</f>
        <v>0.00440677966101695</v>
      </c>
      <c r="R186" s="33"/>
      <c r="S186" s="76"/>
      <c r="T186" s="33"/>
      <c r="U186" s="63"/>
      <c r="V186" s="33"/>
      <c r="W186" s="33"/>
      <c r="X186" s="33"/>
      <c r="Y186" s="33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</row>
    <row r="187" spans="1:35" ht="15.75">
      <c r="A187" s="33"/>
      <c r="B187" s="30" t="s">
        <v>571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4">
        <f>SUM(Q173:Q186)</f>
        <v>0.4996061016949153</v>
      </c>
      <c r="R187" s="33"/>
      <c r="S187" s="80"/>
      <c r="T187" s="33"/>
      <c r="U187" s="34"/>
      <c r="V187" s="80"/>
      <c r="W187" s="33"/>
      <c r="X187" s="33"/>
      <c r="Y187" s="33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</row>
    <row r="188" spans="1:35" ht="15.75">
      <c r="A188" s="37" t="s">
        <v>34</v>
      </c>
      <c r="B188" s="39" t="s">
        <v>572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5"/>
      <c r="P188" s="39"/>
      <c r="Q188" s="67"/>
      <c r="R188" s="39"/>
      <c r="S188" s="67"/>
      <c r="T188" s="39"/>
      <c r="U188" s="39"/>
      <c r="V188" s="39"/>
      <c r="W188" s="39"/>
      <c r="X188" s="39"/>
      <c r="Y188" s="39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</row>
    <row r="189" spans="1:35" ht="15.75">
      <c r="A189" s="61"/>
      <c r="B189" s="39" t="s">
        <v>573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3" t="s">
        <v>564</v>
      </c>
      <c r="Q189" s="63">
        <f>0.033/1.18</f>
        <v>0.027966101694915257</v>
      </c>
      <c r="R189" s="39"/>
      <c r="S189" s="76"/>
      <c r="T189" s="39"/>
      <c r="U189" s="63"/>
      <c r="V189" s="76"/>
      <c r="W189" s="39"/>
      <c r="X189" s="39"/>
      <c r="Y189" s="39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</row>
    <row r="190" spans="1:35" ht="15.75">
      <c r="A190" s="61"/>
      <c r="B190" s="39" t="s">
        <v>574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3" t="s">
        <v>555</v>
      </c>
      <c r="Q190" s="63">
        <f>0.218/1.18*2</f>
        <v>0.3694915254237288</v>
      </c>
      <c r="R190" s="39"/>
      <c r="S190" s="76"/>
      <c r="T190" s="39"/>
      <c r="U190" s="63"/>
      <c r="V190" s="76"/>
      <c r="W190" s="39"/>
      <c r="X190" s="39"/>
      <c r="Y190" s="39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</row>
    <row r="191" spans="1:35" ht="15.75">
      <c r="A191" s="61"/>
      <c r="B191" s="39" t="s">
        <v>575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3" t="s">
        <v>564</v>
      </c>
      <c r="Q191" s="63">
        <f>0.02/1.18</f>
        <v>0.01694915254237288</v>
      </c>
      <c r="R191" s="39"/>
      <c r="S191" s="76"/>
      <c r="T191" s="39"/>
      <c r="U191" s="63"/>
      <c r="V191" s="76"/>
      <c r="W191" s="39"/>
      <c r="X191" s="39"/>
      <c r="Y191" s="39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</row>
    <row r="192" spans="1:35" ht="15.75">
      <c r="A192" s="33"/>
      <c r="B192" s="39" t="s">
        <v>576</v>
      </c>
      <c r="C192" s="60"/>
      <c r="D192" s="60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3" t="s">
        <v>564</v>
      </c>
      <c r="Q192" s="63">
        <f>0.946/1.18</f>
        <v>0.8016949152542373</v>
      </c>
      <c r="R192" s="39"/>
      <c r="S192" s="76"/>
      <c r="T192" s="39"/>
      <c r="U192" s="63"/>
      <c r="V192" s="76"/>
      <c r="W192" s="39"/>
      <c r="X192" s="39"/>
      <c r="Y192" s="39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</row>
    <row r="193" spans="1:35" ht="15.75">
      <c r="A193" s="33"/>
      <c r="B193" s="39" t="s">
        <v>577</v>
      </c>
      <c r="C193" s="60"/>
      <c r="D193" s="60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3" t="s">
        <v>564</v>
      </c>
      <c r="Q193" s="63">
        <f>3.849/1.18</f>
        <v>3.261864406779661</v>
      </c>
      <c r="R193" s="39"/>
      <c r="S193" s="76"/>
      <c r="T193" s="39"/>
      <c r="U193" s="63"/>
      <c r="V193" s="76"/>
      <c r="W193" s="39"/>
      <c r="X193" s="39"/>
      <c r="Y193" s="39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</row>
    <row r="194" spans="1:35" ht="15.75">
      <c r="A194" s="33"/>
      <c r="B194" s="39" t="s">
        <v>578</v>
      </c>
      <c r="C194" s="60"/>
      <c r="D194" s="60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3" t="s">
        <v>564</v>
      </c>
      <c r="Q194" s="63">
        <f>0.959/1.18</f>
        <v>0.8127118644067797</v>
      </c>
      <c r="R194" s="39"/>
      <c r="S194" s="76"/>
      <c r="T194" s="39"/>
      <c r="U194" s="63"/>
      <c r="V194" s="76"/>
      <c r="W194" s="39"/>
      <c r="X194" s="39"/>
      <c r="Y194" s="39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</row>
    <row r="195" spans="1:35" ht="15.75">
      <c r="A195" s="33"/>
      <c r="B195" s="39" t="s">
        <v>579</v>
      </c>
      <c r="C195" s="60"/>
      <c r="D195" s="60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3" t="s">
        <v>564</v>
      </c>
      <c r="Q195" s="63">
        <f>0.797/1.18</f>
        <v>0.6754237288135594</v>
      </c>
      <c r="R195" s="39"/>
      <c r="S195" s="76"/>
      <c r="T195" s="39"/>
      <c r="U195" s="63"/>
      <c r="V195" s="76"/>
      <c r="W195" s="39"/>
      <c r="X195" s="39"/>
      <c r="Y195" s="39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</row>
    <row r="196" spans="1:35" ht="15.75">
      <c r="A196" s="33"/>
      <c r="B196" s="39" t="s">
        <v>580</v>
      </c>
      <c r="C196" s="60"/>
      <c r="D196" s="60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 t="s">
        <v>564</v>
      </c>
      <c r="Q196" s="63">
        <f>0.276/1.18</f>
        <v>0.2338983050847458</v>
      </c>
      <c r="R196" s="33"/>
      <c r="S196" s="76"/>
      <c r="T196" s="33"/>
      <c r="U196" s="63"/>
      <c r="V196" s="76"/>
      <c r="W196" s="33"/>
      <c r="X196" s="33"/>
      <c r="Y196" s="33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</row>
    <row r="197" spans="1:35" ht="15.75">
      <c r="A197" s="33"/>
      <c r="B197" s="30" t="s">
        <v>581</v>
      </c>
      <c r="C197" s="60"/>
      <c r="D197" s="60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4">
        <f>SUM(Q189:Q196)</f>
        <v>6.2</v>
      </c>
      <c r="R197" s="33"/>
      <c r="S197" s="34"/>
      <c r="T197" s="33"/>
      <c r="U197" s="34"/>
      <c r="V197" s="34"/>
      <c r="W197" s="33"/>
      <c r="X197" s="33"/>
      <c r="Y197" s="33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</row>
    <row r="198" spans="1:35" ht="15.75">
      <c r="A198" s="33"/>
      <c r="B198" s="30" t="s">
        <v>362</v>
      </c>
      <c r="C198" s="60"/>
      <c r="D198" s="60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80">
        <f>Q187+Q197</f>
        <v>6.699606101694916</v>
      </c>
      <c r="R198" s="33"/>
      <c r="S198" s="80"/>
      <c r="T198" s="33"/>
      <c r="U198" s="34"/>
      <c r="V198" s="80"/>
      <c r="W198" s="33"/>
      <c r="X198" s="33"/>
      <c r="Y198" s="33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</row>
    <row r="199" spans="1:35" ht="15.75">
      <c r="A199" s="30" t="s">
        <v>201</v>
      </c>
      <c r="B199" s="30" t="s">
        <v>294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80"/>
      <c r="P199" s="30"/>
      <c r="Q199" s="80"/>
      <c r="R199" s="39"/>
      <c r="S199" s="39"/>
      <c r="T199" s="39"/>
      <c r="U199" s="39"/>
      <c r="V199" s="30"/>
      <c r="W199" s="30"/>
      <c r="X199" s="30"/>
      <c r="Y199" s="3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</row>
    <row r="200" spans="1:35" s="74" customFormat="1" ht="31.5">
      <c r="A200" s="45" t="s">
        <v>295</v>
      </c>
      <c r="B200" s="85" t="s">
        <v>296</v>
      </c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5"/>
      <c r="V200" s="30"/>
      <c r="W200" s="30"/>
      <c r="X200" s="30"/>
      <c r="Y200" s="30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</row>
    <row r="201" spans="1:35" ht="15.75">
      <c r="A201" s="37"/>
      <c r="B201" s="62" t="s">
        <v>348</v>
      </c>
      <c r="C201" s="82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</row>
    <row r="202" spans="1:35" ht="31.5">
      <c r="A202" s="33"/>
      <c r="B202" s="629" t="s">
        <v>863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3">
        <v>1</v>
      </c>
      <c r="Q202" s="86">
        <f aca="true" t="shared" si="5" ref="Q202:Q207">S202+T202</f>
        <v>0.06520000000000001</v>
      </c>
      <c r="R202" s="39"/>
      <c r="S202" s="84">
        <f>0.347604/1.18/4-0.0085</f>
        <v>0.0651449152542373</v>
      </c>
      <c r="T202" s="84">
        <f>0.03802/1.18/4-0.008</f>
        <v>5.5084745762712384E-05</v>
      </c>
      <c r="U202" s="39"/>
      <c r="V202" s="39"/>
      <c r="W202" s="39"/>
      <c r="X202" s="39"/>
      <c r="Y202" s="39"/>
      <c r="Z202" s="78">
        <v>2013</v>
      </c>
      <c r="AA202" s="78">
        <v>7</v>
      </c>
      <c r="AB202" s="60"/>
      <c r="AC202" s="60"/>
      <c r="AD202" s="60"/>
      <c r="AE202" s="60"/>
      <c r="AF202" s="60"/>
      <c r="AG202" s="60"/>
      <c r="AH202" s="60"/>
      <c r="AI202" s="60"/>
    </row>
    <row r="203" spans="1:35" ht="31.5">
      <c r="A203" s="33"/>
      <c r="B203" s="629" t="s">
        <v>864</v>
      </c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3">
        <v>2</v>
      </c>
      <c r="Q203" s="86">
        <f t="shared" si="5"/>
        <v>0.13540000000000002</v>
      </c>
      <c r="R203" s="39"/>
      <c r="S203" s="84">
        <f>0.347604/1.18/2-0.014</f>
        <v>0.1332898305084746</v>
      </c>
      <c r="T203" s="84">
        <f>0.03802/1.18/2-0.014</f>
        <v>0.002110169491525425</v>
      </c>
      <c r="U203" s="39"/>
      <c r="V203" s="39"/>
      <c r="W203" s="39"/>
      <c r="X203" s="39"/>
      <c r="Y203" s="39"/>
      <c r="Z203" s="78">
        <v>2013</v>
      </c>
      <c r="AA203" s="78">
        <v>7</v>
      </c>
      <c r="AB203" s="60"/>
      <c r="AC203" s="60"/>
      <c r="AD203" s="60"/>
      <c r="AE203" s="60"/>
      <c r="AF203" s="60"/>
      <c r="AG203" s="60"/>
      <c r="AH203" s="60"/>
      <c r="AI203" s="60"/>
    </row>
    <row r="204" spans="1:35" ht="31.5">
      <c r="A204" s="33"/>
      <c r="B204" s="629" t="s">
        <v>582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3">
        <v>3</v>
      </c>
      <c r="Q204" s="86">
        <f t="shared" si="5"/>
        <v>0.20510000000000003</v>
      </c>
      <c r="R204" s="39"/>
      <c r="S204" s="84">
        <f>0.260703/1.18-0.02</f>
        <v>0.2009347457627119</v>
      </c>
      <c r="T204" s="84">
        <f>0.028515/1.18-0.02</f>
        <v>0.004165254237288134</v>
      </c>
      <c r="U204" s="39"/>
      <c r="V204" s="39"/>
      <c r="W204" s="39"/>
      <c r="X204" s="39"/>
      <c r="Y204" s="39"/>
      <c r="Z204" s="78">
        <v>2013</v>
      </c>
      <c r="AA204" s="78">
        <v>7</v>
      </c>
      <c r="AB204" s="60"/>
      <c r="AC204" s="60"/>
      <c r="AD204" s="60"/>
      <c r="AE204" s="60"/>
      <c r="AF204" s="60"/>
      <c r="AG204" s="60"/>
      <c r="AH204" s="60"/>
      <c r="AI204" s="60"/>
    </row>
    <row r="205" spans="1:35" ht="31.5">
      <c r="A205" s="33"/>
      <c r="B205" s="629" t="s">
        <v>865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3">
        <v>3</v>
      </c>
      <c r="Q205" s="86">
        <f t="shared" si="5"/>
        <v>0.20510000000000003</v>
      </c>
      <c r="R205" s="39"/>
      <c r="S205" s="84">
        <f>0.260703/1.18-0.02</f>
        <v>0.2009347457627119</v>
      </c>
      <c r="T205" s="84">
        <f>0.028515/1.18-0.02</f>
        <v>0.004165254237288134</v>
      </c>
      <c r="U205" s="39"/>
      <c r="V205" s="39"/>
      <c r="W205" s="39"/>
      <c r="X205" s="39"/>
      <c r="Y205" s="39"/>
      <c r="Z205" s="78">
        <v>2013</v>
      </c>
      <c r="AA205" s="78">
        <v>7</v>
      </c>
      <c r="AB205" s="60"/>
      <c r="AC205" s="60"/>
      <c r="AD205" s="60"/>
      <c r="AE205" s="60"/>
      <c r="AF205" s="60"/>
      <c r="AG205" s="60"/>
      <c r="AH205" s="60"/>
      <c r="AI205" s="60"/>
    </row>
    <row r="206" spans="1:35" ht="31.5">
      <c r="A206" s="33"/>
      <c r="B206" s="629" t="s">
        <v>866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3">
        <v>3</v>
      </c>
      <c r="Q206" s="86">
        <f t="shared" si="5"/>
        <v>0.20510000000000003</v>
      </c>
      <c r="R206" s="39"/>
      <c r="S206" s="84">
        <f>0.260703/1.18-0.02</f>
        <v>0.2009347457627119</v>
      </c>
      <c r="T206" s="84">
        <f>0.028515/1.18-0.02</f>
        <v>0.004165254237288134</v>
      </c>
      <c r="U206" s="39"/>
      <c r="V206" s="39"/>
      <c r="W206" s="39"/>
      <c r="X206" s="39"/>
      <c r="Y206" s="39"/>
      <c r="Z206" s="78">
        <v>2013</v>
      </c>
      <c r="AA206" s="78">
        <v>7</v>
      </c>
      <c r="AB206" s="60"/>
      <c r="AC206" s="60"/>
      <c r="AD206" s="60"/>
      <c r="AE206" s="60"/>
      <c r="AF206" s="60"/>
      <c r="AG206" s="60"/>
      <c r="AH206" s="60"/>
      <c r="AI206" s="60"/>
    </row>
    <row r="207" spans="1:35" ht="31.5">
      <c r="A207" s="33"/>
      <c r="B207" s="629" t="s">
        <v>867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3">
        <v>3</v>
      </c>
      <c r="Q207" s="86">
        <f t="shared" si="5"/>
        <v>0.20910000000000004</v>
      </c>
      <c r="R207" s="39"/>
      <c r="S207" s="84">
        <f>0.260703/1.18-0.018</f>
        <v>0.2029347457627119</v>
      </c>
      <c r="T207" s="84">
        <f>0.028515/1.18-0.018</f>
        <v>0.0061652542372881355</v>
      </c>
      <c r="U207" s="39"/>
      <c r="V207" s="39"/>
      <c r="W207" s="39"/>
      <c r="X207" s="39"/>
      <c r="Y207" s="39"/>
      <c r="Z207" s="78">
        <v>2013</v>
      </c>
      <c r="AA207" s="78">
        <v>7</v>
      </c>
      <c r="AB207" s="60"/>
      <c r="AC207" s="60"/>
      <c r="AD207" s="60"/>
      <c r="AE207" s="60"/>
      <c r="AF207" s="60"/>
      <c r="AG207" s="60"/>
      <c r="AH207" s="60"/>
      <c r="AI207" s="60"/>
    </row>
    <row r="208" spans="1:35" s="74" customFormat="1" ht="15.75">
      <c r="A208" s="30"/>
      <c r="B208" s="630" t="s">
        <v>585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0">
        <f>SUM(P202:P207)</f>
        <v>15</v>
      </c>
      <c r="Q208" s="631">
        <f>SUM(Q202:Q207)</f>
        <v>1.0250000000000001</v>
      </c>
      <c r="R208" s="35"/>
      <c r="S208" s="87">
        <f>SUM(S202:S207)</f>
        <v>1.0041737288135595</v>
      </c>
      <c r="T208" s="87">
        <f>SUM(T202:T207)</f>
        <v>0.020826271186440676</v>
      </c>
      <c r="U208" s="35"/>
      <c r="V208" s="35"/>
      <c r="W208" s="35"/>
      <c r="X208" s="35"/>
      <c r="Y208" s="35"/>
      <c r="Z208" s="88"/>
      <c r="AA208" s="88"/>
      <c r="AB208" s="73"/>
      <c r="AC208" s="73"/>
      <c r="AD208" s="73"/>
      <c r="AE208" s="73"/>
      <c r="AF208" s="73"/>
      <c r="AG208" s="73"/>
      <c r="AH208" s="73"/>
      <c r="AI208" s="73"/>
    </row>
    <row r="209" spans="1:35" ht="31.5">
      <c r="A209" s="45" t="s">
        <v>297</v>
      </c>
      <c r="B209" s="35" t="s">
        <v>586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3"/>
      <c r="Q209" s="86"/>
      <c r="R209" s="39"/>
      <c r="S209" s="84"/>
      <c r="T209" s="84"/>
      <c r="U209" s="39"/>
      <c r="V209" s="39"/>
      <c r="W209" s="39"/>
      <c r="X209" s="39"/>
      <c r="Y209" s="39"/>
      <c r="Z209" s="78"/>
      <c r="AA209" s="78"/>
      <c r="AB209" s="60"/>
      <c r="AC209" s="60"/>
      <c r="AD209" s="60"/>
      <c r="AE209" s="60"/>
      <c r="AF209" s="60"/>
      <c r="AG209" s="60"/>
      <c r="AH209" s="60"/>
      <c r="AI209" s="60"/>
    </row>
    <row r="210" spans="1:35" ht="15.75">
      <c r="A210" s="45"/>
      <c r="B210" s="35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3"/>
      <c r="Q210" s="86"/>
      <c r="R210" s="39"/>
      <c r="S210" s="84"/>
      <c r="T210" s="84"/>
      <c r="U210" s="39"/>
      <c r="V210" s="39"/>
      <c r="W210" s="39"/>
      <c r="X210" s="39"/>
      <c r="Y210" s="39"/>
      <c r="Z210" s="78"/>
      <c r="AA210" s="78"/>
      <c r="AB210" s="60"/>
      <c r="AC210" s="60"/>
      <c r="AD210" s="60"/>
      <c r="AE210" s="60"/>
      <c r="AF210" s="60"/>
      <c r="AG210" s="60"/>
      <c r="AH210" s="60"/>
      <c r="AI210" s="60"/>
    </row>
    <row r="211" spans="1:35" ht="31.5">
      <c r="A211" s="33"/>
      <c r="B211" s="39" t="s">
        <v>587</v>
      </c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3">
        <v>1</v>
      </c>
      <c r="Q211" s="89">
        <f>S211+T211</f>
        <v>0.8500000000000001</v>
      </c>
      <c r="R211" s="39"/>
      <c r="S211" s="84">
        <f>0.1227+0.126-0.075</f>
        <v>0.17370000000000002</v>
      </c>
      <c r="T211" s="84">
        <f>0.48+0.2713-0.075</f>
        <v>0.6763</v>
      </c>
      <c r="U211" s="39"/>
      <c r="V211" s="39"/>
      <c r="W211" s="39"/>
      <c r="X211" s="39"/>
      <c r="Y211" s="39"/>
      <c r="Z211" s="78">
        <v>2013</v>
      </c>
      <c r="AA211" s="78">
        <v>7</v>
      </c>
      <c r="AB211" s="60"/>
      <c r="AC211" s="60"/>
      <c r="AD211" s="60"/>
      <c r="AE211" s="60"/>
      <c r="AF211" s="60"/>
      <c r="AG211" s="60"/>
      <c r="AH211" s="60"/>
      <c r="AI211" s="60"/>
    </row>
    <row r="212" spans="1:35" ht="15.75" hidden="1">
      <c r="A212" s="45"/>
      <c r="B212" s="30" t="s">
        <v>404</v>
      </c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3"/>
      <c r="Q212" s="84"/>
      <c r="R212" s="39"/>
      <c r="S212" s="84"/>
      <c r="T212" s="84"/>
      <c r="U212" s="39"/>
      <c r="V212" s="39"/>
      <c r="W212" s="39"/>
      <c r="X212" s="39"/>
      <c r="Y212" s="39"/>
      <c r="Z212" s="78"/>
      <c r="AA212" s="78"/>
      <c r="AB212" s="60"/>
      <c r="AC212" s="60"/>
      <c r="AD212" s="60"/>
      <c r="AE212" s="60"/>
      <c r="AF212" s="60"/>
      <c r="AG212" s="60"/>
      <c r="AH212" s="60"/>
      <c r="AI212" s="60"/>
    </row>
    <row r="213" spans="1:35" ht="31.5" hidden="1">
      <c r="A213" s="33"/>
      <c r="B213" s="39" t="s">
        <v>588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3">
        <v>0</v>
      </c>
      <c r="Q213" s="89">
        <f>S213+T213</f>
        <v>0</v>
      </c>
      <c r="R213" s="39"/>
      <c r="S213" s="84">
        <v>0</v>
      </c>
      <c r="T213" s="84">
        <v>0</v>
      </c>
      <c r="U213" s="39"/>
      <c r="V213" s="39"/>
      <c r="W213" s="39"/>
      <c r="X213" s="39"/>
      <c r="Y213" s="39"/>
      <c r="Z213" s="78">
        <v>2013</v>
      </c>
      <c r="AA213" s="78">
        <v>7</v>
      </c>
      <c r="AB213" s="60"/>
      <c r="AC213" s="60"/>
      <c r="AD213" s="60"/>
      <c r="AE213" s="60"/>
      <c r="AF213" s="60"/>
      <c r="AG213" s="60"/>
      <c r="AH213" s="60"/>
      <c r="AI213" s="60"/>
    </row>
    <row r="214" spans="1:35" ht="15.75" hidden="1">
      <c r="A214" s="45"/>
      <c r="B214" s="30" t="s">
        <v>374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3"/>
      <c r="Q214" s="89"/>
      <c r="R214" s="84"/>
      <c r="S214" s="84"/>
      <c r="T214" s="84"/>
      <c r="U214" s="39"/>
      <c r="V214" s="39"/>
      <c r="W214" s="39"/>
      <c r="X214" s="39"/>
      <c r="Y214" s="39"/>
      <c r="Z214" s="78"/>
      <c r="AA214" s="78"/>
      <c r="AB214" s="60"/>
      <c r="AC214" s="60"/>
      <c r="AD214" s="60"/>
      <c r="AE214" s="60"/>
      <c r="AF214" s="60"/>
      <c r="AG214" s="60"/>
      <c r="AH214" s="60"/>
      <c r="AI214" s="60"/>
    </row>
    <row r="215" spans="1:35" ht="57" customHeight="1" hidden="1">
      <c r="A215" s="33"/>
      <c r="B215" s="39" t="s">
        <v>589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3">
        <v>0</v>
      </c>
      <c r="Q215" s="89">
        <f>S215+T215</f>
        <v>0</v>
      </c>
      <c r="R215" s="84"/>
      <c r="S215" s="84">
        <v>0</v>
      </c>
      <c r="T215" s="84">
        <v>0</v>
      </c>
      <c r="U215" s="39"/>
      <c r="V215" s="39"/>
      <c r="W215" s="39"/>
      <c r="X215" s="39"/>
      <c r="Y215" s="39"/>
      <c r="Z215" s="78">
        <v>2013</v>
      </c>
      <c r="AA215" s="78">
        <v>7</v>
      </c>
      <c r="AB215" s="60"/>
      <c r="AC215" s="60"/>
      <c r="AD215" s="60"/>
      <c r="AE215" s="60"/>
      <c r="AF215" s="60"/>
      <c r="AG215" s="60"/>
      <c r="AH215" s="60"/>
      <c r="AI215" s="60"/>
    </row>
    <row r="216" spans="1:35" ht="15.75">
      <c r="A216" s="45"/>
      <c r="B216" s="30" t="s">
        <v>355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3"/>
      <c r="Q216" s="84"/>
      <c r="R216" s="39"/>
      <c r="S216" s="84"/>
      <c r="T216" s="84"/>
      <c r="U216" s="39"/>
      <c r="V216" s="39"/>
      <c r="W216" s="39"/>
      <c r="X216" s="39"/>
      <c r="Y216" s="39"/>
      <c r="Z216" s="78"/>
      <c r="AA216" s="78"/>
      <c r="AB216" s="60"/>
      <c r="AC216" s="60"/>
      <c r="AD216" s="60"/>
      <c r="AE216" s="60"/>
      <c r="AF216" s="60"/>
      <c r="AG216" s="60"/>
      <c r="AH216" s="60"/>
      <c r="AI216" s="60"/>
    </row>
    <row r="217" spans="1:35" ht="31.5">
      <c r="A217" s="33"/>
      <c r="B217" s="39" t="s">
        <v>590</v>
      </c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3">
        <v>1</v>
      </c>
      <c r="Q217" s="89">
        <f>S217+T217</f>
        <v>0.8500000000000001</v>
      </c>
      <c r="R217" s="39"/>
      <c r="S217" s="84">
        <f>0.1227+0.126-0.075</f>
        <v>0.17370000000000002</v>
      </c>
      <c r="T217" s="84">
        <f>0.48+0.2713-0.075</f>
        <v>0.6763</v>
      </c>
      <c r="U217" s="39"/>
      <c r="V217" s="39"/>
      <c r="W217" s="39"/>
      <c r="X217" s="39"/>
      <c r="Y217" s="39"/>
      <c r="Z217" s="78">
        <v>2013</v>
      </c>
      <c r="AA217" s="78">
        <v>7</v>
      </c>
      <c r="AB217" s="60"/>
      <c r="AC217" s="60"/>
      <c r="AD217" s="60"/>
      <c r="AE217" s="60"/>
      <c r="AF217" s="60"/>
      <c r="AG217" s="60"/>
      <c r="AH217" s="60"/>
      <c r="AI217" s="60"/>
    </row>
    <row r="218" spans="1:35" ht="15.75">
      <c r="A218" s="33"/>
      <c r="B218" s="632" t="s">
        <v>585</v>
      </c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0">
        <v>2</v>
      </c>
      <c r="Q218" s="633">
        <f>SUM(Q211:Q217)</f>
        <v>1.7000000000000002</v>
      </c>
      <c r="R218" s="35"/>
      <c r="S218" s="633">
        <f>SUM(S211:S217)</f>
        <v>0.34740000000000004</v>
      </c>
      <c r="T218" s="633">
        <f>SUM(T211:T217)</f>
        <v>1.3526</v>
      </c>
      <c r="U218" s="39"/>
      <c r="V218" s="39"/>
      <c r="W218" s="39"/>
      <c r="X218" s="39"/>
      <c r="Y218" s="39"/>
      <c r="Z218" s="78"/>
      <c r="AA218" s="78"/>
      <c r="AB218" s="60"/>
      <c r="AC218" s="60"/>
      <c r="AD218" s="60"/>
      <c r="AE218" s="60"/>
      <c r="AF218" s="60"/>
      <c r="AG218" s="60"/>
      <c r="AH218" s="60"/>
      <c r="AI218" s="60"/>
    </row>
    <row r="219" spans="1:35" ht="15.75">
      <c r="A219" s="30" t="s">
        <v>204</v>
      </c>
      <c r="B219" s="30" t="s">
        <v>299</v>
      </c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9"/>
      <c r="S219" s="39"/>
      <c r="T219" s="39"/>
      <c r="U219" s="39"/>
      <c r="V219" s="30"/>
      <c r="W219" s="30"/>
      <c r="X219" s="30"/>
      <c r="Y219" s="3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</row>
    <row r="220" spans="1:35" s="74" customFormat="1" ht="31.5">
      <c r="A220" s="45" t="s">
        <v>300</v>
      </c>
      <c r="B220" s="35" t="s">
        <v>591</v>
      </c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5"/>
      <c r="S220" s="35"/>
      <c r="T220" s="35"/>
      <c r="U220" s="35"/>
      <c r="V220" s="30"/>
      <c r="W220" s="30"/>
      <c r="X220" s="30"/>
      <c r="Y220" s="30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</row>
    <row r="221" spans="1:35" ht="15.75">
      <c r="A221" s="45"/>
      <c r="B221" s="35" t="s">
        <v>404</v>
      </c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9"/>
      <c r="V221" s="30"/>
      <c r="W221" s="30"/>
      <c r="X221" s="30"/>
      <c r="Y221" s="3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</row>
    <row r="222" spans="1:35" ht="31.5">
      <c r="A222" s="33"/>
      <c r="B222" s="629" t="s">
        <v>592</v>
      </c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3">
        <v>1</v>
      </c>
      <c r="Q222" s="84">
        <f>S222+T222</f>
        <v>0.4087584745762712</v>
      </c>
      <c r="R222" s="39"/>
      <c r="S222" s="84">
        <f>0.359334/1.18-0.03</f>
        <v>0.27452033898305084</v>
      </c>
      <c r="T222" s="84">
        <f>0.193801/1.18-0.03</f>
        <v>0.13423813559322034</v>
      </c>
      <c r="U222" s="39"/>
      <c r="V222" s="39"/>
      <c r="W222" s="39"/>
      <c r="X222" s="39"/>
      <c r="Y222" s="39"/>
      <c r="Z222" s="78">
        <v>2013</v>
      </c>
      <c r="AA222" s="78">
        <v>7</v>
      </c>
      <c r="AB222" s="60"/>
      <c r="AC222" s="60"/>
      <c r="AD222" s="60"/>
      <c r="AE222" s="60"/>
      <c r="AF222" s="60"/>
      <c r="AG222" s="60"/>
      <c r="AH222" s="60"/>
      <c r="AI222" s="60"/>
    </row>
    <row r="223" spans="1:35" ht="15.75">
      <c r="A223" s="45"/>
      <c r="B223" s="39" t="s">
        <v>375</v>
      </c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9"/>
      <c r="S223" s="39"/>
      <c r="T223" s="39"/>
      <c r="U223" s="39"/>
      <c r="V223" s="30"/>
      <c r="W223" s="30"/>
      <c r="X223" s="30"/>
      <c r="Y223" s="3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</row>
    <row r="224" spans="1:35" ht="31.5">
      <c r="A224" s="33"/>
      <c r="B224" s="629" t="s">
        <v>593</v>
      </c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3">
        <v>1</v>
      </c>
      <c r="Q224" s="84">
        <f>S224+T224</f>
        <v>0.3787584745762712</v>
      </c>
      <c r="R224" s="39"/>
      <c r="S224" s="84">
        <f>0.359334/1.18-0.03</f>
        <v>0.27452033898305084</v>
      </c>
      <c r="T224" s="84">
        <f>0.193801/1.18-0.03-0.03</f>
        <v>0.10423813559322034</v>
      </c>
      <c r="U224" s="39"/>
      <c r="V224" s="39"/>
      <c r="W224" s="39"/>
      <c r="X224" s="39"/>
      <c r="Y224" s="39"/>
      <c r="Z224" s="78">
        <v>2013</v>
      </c>
      <c r="AA224" s="78">
        <v>7</v>
      </c>
      <c r="AB224" s="60"/>
      <c r="AC224" s="60"/>
      <c r="AD224" s="60"/>
      <c r="AE224" s="60"/>
      <c r="AF224" s="60"/>
      <c r="AG224" s="60"/>
      <c r="AH224" s="60"/>
      <c r="AI224" s="60"/>
    </row>
    <row r="225" spans="1:35" ht="15.75">
      <c r="A225" s="45"/>
      <c r="B225" s="35" t="s">
        <v>378</v>
      </c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87"/>
      <c r="R225" s="39"/>
      <c r="S225" s="87"/>
      <c r="T225" s="87"/>
      <c r="U225" s="39"/>
      <c r="V225" s="30"/>
      <c r="W225" s="30"/>
      <c r="X225" s="30"/>
      <c r="Y225" s="3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</row>
    <row r="226" spans="1:35" ht="31.5">
      <c r="A226" s="33"/>
      <c r="B226" s="629" t="s">
        <v>594</v>
      </c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3">
        <v>1</v>
      </c>
      <c r="Q226" s="84">
        <f>S226+T226</f>
        <v>0.4087584745762712</v>
      </c>
      <c r="R226" s="39"/>
      <c r="S226" s="84">
        <f>0.359334/1.18-0.03</f>
        <v>0.27452033898305084</v>
      </c>
      <c r="T226" s="84">
        <f>0.193801/1.18-0.03</f>
        <v>0.13423813559322034</v>
      </c>
      <c r="U226" s="39"/>
      <c r="V226" s="39"/>
      <c r="W226" s="39"/>
      <c r="X226" s="39"/>
      <c r="Y226" s="39"/>
      <c r="Z226" s="78">
        <v>2013</v>
      </c>
      <c r="AA226" s="78">
        <v>7</v>
      </c>
      <c r="AB226" s="60"/>
      <c r="AC226" s="60"/>
      <c r="AD226" s="60"/>
      <c r="AE226" s="60"/>
      <c r="AF226" s="60"/>
      <c r="AG226" s="60"/>
      <c r="AH226" s="60"/>
      <c r="AI226" s="60"/>
    </row>
    <row r="227" spans="1:35" ht="15" customHeight="1">
      <c r="A227" s="45"/>
      <c r="B227" s="39" t="s">
        <v>376</v>
      </c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3"/>
      <c r="Q227" s="84"/>
      <c r="R227" s="39"/>
      <c r="S227" s="84"/>
      <c r="T227" s="84"/>
      <c r="U227" s="39"/>
      <c r="V227" s="39"/>
      <c r="W227" s="39"/>
      <c r="X227" s="39"/>
      <c r="Y227" s="39"/>
      <c r="Z227" s="78"/>
      <c r="AA227" s="78"/>
      <c r="AB227" s="60"/>
      <c r="AC227" s="60"/>
      <c r="AD227" s="60"/>
      <c r="AE227" s="60"/>
      <c r="AF227" s="60"/>
      <c r="AG227" s="60"/>
      <c r="AH227" s="60"/>
      <c r="AI227" s="60"/>
    </row>
    <row r="228" spans="1:35" ht="31.5">
      <c r="A228" s="33"/>
      <c r="B228" s="629" t="s">
        <v>595</v>
      </c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3">
        <v>1</v>
      </c>
      <c r="Q228" s="84">
        <f>S228+T228</f>
        <v>0.4237584745762712</v>
      </c>
      <c r="R228" s="39"/>
      <c r="S228" s="84">
        <f>0.359334/1.18-0.03</f>
        <v>0.27452033898305084</v>
      </c>
      <c r="T228" s="84">
        <f>0.193801/1.18-0.015</f>
        <v>0.14923813559322036</v>
      </c>
      <c r="U228" s="39"/>
      <c r="V228" s="39"/>
      <c r="W228" s="39"/>
      <c r="X228" s="39"/>
      <c r="Y228" s="39"/>
      <c r="Z228" s="78">
        <v>2013</v>
      </c>
      <c r="AA228" s="78">
        <v>7</v>
      </c>
      <c r="AB228" s="60"/>
      <c r="AC228" s="60"/>
      <c r="AD228" s="60"/>
      <c r="AE228" s="60"/>
      <c r="AF228" s="60"/>
      <c r="AG228" s="60"/>
      <c r="AH228" s="60"/>
      <c r="AI228" s="60"/>
    </row>
    <row r="229" spans="1:35" ht="15.75">
      <c r="A229" s="45"/>
      <c r="B229" s="35" t="s">
        <v>377</v>
      </c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3"/>
      <c r="Q229" s="84"/>
      <c r="R229" s="39"/>
      <c r="S229" s="84"/>
      <c r="T229" s="84"/>
      <c r="U229" s="39"/>
      <c r="V229" s="39"/>
      <c r="W229" s="39"/>
      <c r="X229" s="39"/>
      <c r="Y229" s="39"/>
      <c r="Z229" s="78"/>
      <c r="AA229" s="78"/>
      <c r="AB229" s="60"/>
      <c r="AC229" s="60"/>
      <c r="AD229" s="60"/>
      <c r="AE229" s="60"/>
      <c r="AF229" s="60"/>
      <c r="AG229" s="60"/>
      <c r="AH229" s="60"/>
      <c r="AI229" s="60"/>
    </row>
    <row r="230" spans="1:35" ht="31.5">
      <c r="A230" s="33"/>
      <c r="B230" s="629" t="s">
        <v>596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3">
        <v>1</v>
      </c>
      <c r="Q230" s="84">
        <f>S230+T230</f>
        <v>0.4237584745762712</v>
      </c>
      <c r="R230" s="39"/>
      <c r="S230" s="84">
        <f>0.359334/1.18-0.03</f>
        <v>0.27452033898305084</v>
      </c>
      <c r="T230" s="84">
        <f>0.193801/1.18-0.015</f>
        <v>0.14923813559322036</v>
      </c>
      <c r="U230" s="39"/>
      <c r="V230" s="39"/>
      <c r="W230" s="39"/>
      <c r="X230" s="39"/>
      <c r="Y230" s="39"/>
      <c r="Z230" s="78">
        <v>2013</v>
      </c>
      <c r="AA230" s="78">
        <v>7</v>
      </c>
      <c r="AB230" s="60"/>
      <c r="AC230" s="60"/>
      <c r="AD230" s="60"/>
      <c r="AE230" s="60"/>
      <c r="AF230" s="60"/>
      <c r="AG230" s="60"/>
      <c r="AH230" s="60"/>
      <c r="AI230" s="60"/>
    </row>
    <row r="231" spans="1:35" ht="15.75">
      <c r="A231" s="33"/>
      <c r="B231" s="632" t="s">
        <v>585</v>
      </c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72">
        <v>5</v>
      </c>
      <c r="Q231" s="90">
        <f>SUM(Q222:Q230)</f>
        <v>2.043792372881356</v>
      </c>
      <c r="R231" s="35"/>
      <c r="S231" s="91">
        <f>SUM(S222:S230)</f>
        <v>1.3726016949152542</v>
      </c>
      <c r="T231" s="91">
        <f>SUM(T222:T230)</f>
        <v>0.6711906779661019</v>
      </c>
      <c r="U231" s="39"/>
      <c r="V231" s="39"/>
      <c r="W231" s="39"/>
      <c r="X231" s="39"/>
      <c r="Y231" s="39"/>
      <c r="Z231" s="78"/>
      <c r="AA231" s="78"/>
      <c r="AB231" s="60"/>
      <c r="AC231" s="60"/>
      <c r="AD231" s="60"/>
      <c r="AE231" s="60"/>
      <c r="AF231" s="60"/>
      <c r="AG231" s="60"/>
      <c r="AH231" s="60"/>
      <c r="AI231" s="60"/>
    </row>
    <row r="232" spans="1:35" ht="31.5">
      <c r="A232" s="45" t="s">
        <v>303</v>
      </c>
      <c r="B232" s="85" t="s">
        <v>597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72"/>
      <c r="Q232" s="90"/>
      <c r="R232" s="35"/>
      <c r="S232" s="91"/>
      <c r="T232" s="91"/>
      <c r="U232" s="39"/>
      <c r="V232" s="39"/>
      <c r="W232" s="39"/>
      <c r="X232" s="39"/>
      <c r="Y232" s="39"/>
      <c r="Z232" s="78"/>
      <c r="AA232" s="78"/>
      <c r="AB232" s="60"/>
      <c r="AC232" s="60"/>
      <c r="AD232" s="60"/>
      <c r="AE232" s="60"/>
      <c r="AF232" s="60"/>
      <c r="AG232" s="60"/>
      <c r="AH232" s="60"/>
      <c r="AI232" s="60"/>
    </row>
    <row r="233" spans="1:35" ht="15.75">
      <c r="A233" s="45"/>
      <c r="B233" s="35" t="s">
        <v>598</v>
      </c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87">
        <f>SUM(Q234:Q238)</f>
        <v>0.7608220338983052</v>
      </c>
      <c r="R233" s="39"/>
      <c r="S233" s="87">
        <f>SUM(S234:S238)</f>
        <v>0.2766822033898305</v>
      </c>
      <c r="T233" s="87">
        <f>SUM(T234:T238)</f>
        <v>0.4841398305084746</v>
      </c>
      <c r="U233" s="39"/>
      <c r="V233" s="39"/>
      <c r="W233" s="39"/>
      <c r="X233" s="39"/>
      <c r="Y233" s="39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</row>
    <row r="234" spans="1:35" ht="33.75" customHeight="1">
      <c r="A234" s="33"/>
      <c r="B234" s="629" t="s">
        <v>599</v>
      </c>
      <c r="C234" s="39"/>
      <c r="D234" s="39"/>
      <c r="E234" s="39"/>
      <c r="F234" s="39"/>
      <c r="G234" s="39"/>
      <c r="H234" s="39"/>
      <c r="I234" s="33">
        <v>2</v>
      </c>
      <c r="J234" s="39"/>
      <c r="K234" s="39"/>
      <c r="L234" s="39"/>
      <c r="M234" s="39"/>
      <c r="N234" s="39"/>
      <c r="O234" s="39"/>
      <c r="P234" s="33">
        <v>1</v>
      </c>
      <c r="Q234" s="84">
        <f>S234+T234</f>
        <v>0.15216440677966103</v>
      </c>
      <c r="R234" s="39"/>
      <c r="S234" s="84">
        <f>0.065297/1.18</f>
        <v>0.0553364406779661</v>
      </c>
      <c r="T234" s="84">
        <f>0.114257/1.18</f>
        <v>0.09682796610169492</v>
      </c>
      <c r="U234" s="39"/>
      <c r="V234" s="39"/>
      <c r="W234" s="39"/>
      <c r="X234" s="39"/>
      <c r="Y234" s="39"/>
      <c r="Z234" s="78">
        <v>2013</v>
      </c>
      <c r="AA234" s="78">
        <v>7</v>
      </c>
      <c r="AB234" s="60"/>
      <c r="AC234" s="60"/>
      <c r="AD234" s="60"/>
      <c r="AE234" s="60"/>
      <c r="AF234" s="60"/>
      <c r="AG234" s="60"/>
      <c r="AH234" s="60"/>
      <c r="AI234" s="60"/>
    </row>
    <row r="235" spans="1:35" ht="31.5">
      <c r="A235" s="33"/>
      <c r="B235" s="629" t="s">
        <v>600</v>
      </c>
      <c r="C235" s="39"/>
      <c r="D235" s="39"/>
      <c r="E235" s="39"/>
      <c r="F235" s="39"/>
      <c r="G235" s="39"/>
      <c r="H235" s="39"/>
      <c r="I235" s="33">
        <v>2</v>
      </c>
      <c r="J235" s="39"/>
      <c r="K235" s="39"/>
      <c r="L235" s="39"/>
      <c r="M235" s="39"/>
      <c r="N235" s="39"/>
      <c r="O235" s="39"/>
      <c r="P235" s="33">
        <v>1</v>
      </c>
      <c r="Q235" s="84">
        <f>S235+T235</f>
        <v>0.15216440677966103</v>
      </c>
      <c r="R235" s="39"/>
      <c r="S235" s="84">
        <f>0.065297/1.18</f>
        <v>0.0553364406779661</v>
      </c>
      <c r="T235" s="84">
        <f>0.114257/1.18</f>
        <v>0.09682796610169492</v>
      </c>
      <c r="U235" s="39"/>
      <c r="V235" s="39"/>
      <c r="W235" s="39"/>
      <c r="X235" s="39"/>
      <c r="Y235" s="39"/>
      <c r="Z235" s="78">
        <v>2013</v>
      </c>
      <c r="AA235" s="78">
        <v>7</v>
      </c>
      <c r="AB235" s="60"/>
      <c r="AC235" s="60"/>
      <c r="AD235" s="60"/>
      <c r="AE235" s="60"/>
      <c r="AF235" s="60"/>
      <c r="AG235" s="60"/>
      <c r="AH235" s="60"/>
      <c r="AI235" s="60"/>
    </row>
    <row r="236" spans="1:35" ht="31.5">
      <c r="A236" s="33"/>
      <c r="B236" s="629" t="s">
        <v>601</v>
      </c>
      <c r="C236" s="39"/>
      <c r="D236" s="39"/>
      <c r="E236" s="39"/>
      <c r="F236" s="39"/>
      <c r="G236" s="39"/>
      <c r="H236" s="39"/>
      <c r="I236" s="33">
        <v>2</v>
      </c>
      <c r="J236" s="39"/>
      <c r="K236" s="39"/>
      <c r="L236" s="39"/>
      <c r="M236" s="39"/>
      <c r="N236" s="39"/>
      <c r="O236" s="39"/>
      <c r="P236" s="33">
        <v>1</v>
      </c>
      <c r="Q236" s="84">
        <f>S236+T236</f>
        <v>0.15216440677966103</v>
      </c>
      <c r="R236" s="39"/>
      <c r="S236" s="84">
        <f>0.065297/1.18</f>
        <v>0.0553364406779661</v>
      </c>
      <c r="T236" s="84">
        <f>0.114257/1.18</f>
        <v>0.09682796610169492</v>
      </c>
      <c r="U236" s="39"/>
      <c r="V236" s="39"/>
      <c r="W236" s="39"/>
      <c r="X236" s="39"/>
      <c r="Y236" s="39"/>
      <c r="Z236" s="78">
        <v>2013</v>
      </c>
      <c r="AA236" s="78">
        <v>7</v>
      </c>
      <c r="AB236" s="60"/>
      <c r="AC236" s="60"/>
      <c r="AD236" s="60"/>
      <c r="AE236" s="60"/>
      <c r="AF236" s="60"/>
      <c r="AG236" s="60"/>
      <c r="AH236" s="60"/>
      <c r="AI236" s="60"/>
    </row>
    <row r="237" spans="1:35" ht="31.5">
      <c r="A237" s="33"/>
      <c r="B237" s="629" t="s">
        <v>602</v>
      </c>
      <c r="C237" s="39"/>
      <c r="D237" s="39"/>
      <c r="E237" s="39"/>
      <c r="F237" s="39"/>
      <c r="G237" s="39"/>
      <c r="H237" s="39"/>
      <c r="I237" s="33">
        <v>2</v>
      </c>
      <c r="J237" s="39"/>
      <c r="K237" s="39"/>
      <c r="L237" s="39"/>
      <c r="M237" s="39"/>
      <c r="N237" s="39"/>
      <c r="O237" s="39"/>
      <c r="P237" s="33">
        <v>1</v>
      </c>
      <c r="Q237" s="84">
        <f>S237+T237</f>
        <v>0.15216440677966103</v>
      </c>
      <c r="R237" s="39"/>
      <c r="S237" s="84">
        <f>0.065297/1.18</f>
        <v>0.0553364406779661</v>
      </c>
      <c r="T237" s="84">
        <f>0.114257/1.18</f>
        <v>0.09682796610169492</v>
      </c>
      <c r="U237" s="39"/>
      <c r="V237" s="39"/>
      <c r="W237" s="39"/>
      <c r="X237" s="39"/>
      <c r="Y237" s="39"/>
      <c r="Z237" s="78">
        <v>2013</v>
      </c>
      <c r="AA237" s="78">
        <v>7</v>
      </c>
      <c r="AB237" s="60"/>
      <c r="AC237" s="60"/>
      <c r="AD237" s="60"/>
      <c r="AE237" s="60"/>
      <c r="AF237" s="60"/>
      <c r="AG237" s="60"/>
      <c r="AH237" s="60"/>
      <c r="AI237" s="60"/>
    </row>
    <row r="238" spans="1:35" ht="31.5">
      <c r="A238" s="33"/>
      <c r="B238" s="629" t="s">
        <v>603</v>
      </c>
      <c r="C238" s="39"/>
      <c r="D238" s="39"/>
      <c r="E238" s="39"/>
      <c r="F238" s="39"/>
      <c r="G238" s="39"/>
      <c r="H238" s="39"/>
      <c r="I238" s="33">
        <v>1</v>
      </c>
      <c r="J238" s="39"/>
      <c r="K238" s="39"/>
      <c r="L238" s="39"/>
      <c r="M238" s="39"/>
      <c r="N238" s="39"/>
      <c r="O238" s="39"/>
      <c r="P238" s="33">
        <v>1</v>
      </c>
      <c r="Q238" s="84">
        <f>S238+T238</f>
        <v>0.15216440677966103</v>
      </c>
      <c r="R238" s="39"/>
      <c r="S238" s="84">
        <f>0.065297/1.18</f>
        <v>0.0553364406779661</v>
      </c>
      <c r="T238" s="84">
        <f>0.114257/1.18</f>
        <v>0.09682796610169492</v>
      </c>
      <c r="U238" s="39"/>
      <c r="V238" s="39"/>
      <c r="W238" s="39"/>
      <c r="X238" s="39"/>
      <c r="Y238" s="39"/>
      <c r="Z238" s="78">
        <v>2013</v>
      </c>
      <c r="AA238" s="78">
        <v>7</v>
      </c>
      <c r="AB238" s="60"/>
      <c r="AC238" s="60"/>
      <c r="AD238" s="60"/>
      <c r="AE238" s="60"/>
      <c r="AF238" s="60"/>
      <c r="AG238" s="60"/>
      <c r="AH238" s="60"/>
      <c r="AI238" s="60"/>
    </row>
    <row r="239" spans="1:35" ht="15.75">
      <c r="A239" s="33"/>
      <c r="B239" s="85"/>
      <c r="C239" s="39"/>
      <c r="D239" s="39"/>
      <c r="E239" s="39"/>
      <c r="F239" s="39"/>
      <c r="G239" s="39"/>
      <c r="H239" s="39"/>
      <c r="I239" s="33"/>
      <c r="J239" s="39"/>
      <c r="K239" s="39"/>
      <c r="L239" s="39"/>
      <c r="M239" s="39"/>
      <c r="N239" s="39"/>
      <c r="O239" s="39"/>
      <c r="P239" s="33"/>
      <c r="Q239" s="84"/>
      <c r="R239" s="39"/>
      <c r="S239" s="84"/>
      <c r="T239" s="84"/>
      <c r="U239" s="39"/>
      <c r="V239" s="39"/>
      <c r="W239" s="39"/>
      <c r="X239" s="39"/>
      <c r="Y239" s="39"/>
      <c r="Z239" s="78"/>
      <c r="AA239" s="78"/>
      <c r="AB239" s="60"/>
      <c r="AC239" s="60"/>
      <c r="AD239" s="60"/>
      <c r="AE239" s="60"/>
      <c r="AF239" s="60"/>
      <c r="AG239" s="60"/>
      <c r="AH239" s="60"/>
      <c r="AI239" s="60"/>
    </row>
    <row r="240" spans="1:35" ht="15.75">
      <c r="A240" s="45"/>
      <c r="B240" s="35" t="s">
        <v>355</v>
      </c>
      <c r="C240" s="39"/>
      <c r="D240" s="39"/>
      <c r="E240" s="39"/>
      <c r="F240" s="39"/>
      <c r="G240" s="39"/>
      <c r="H240" s="39"/>
      <c r="I240" s="33"/>
      <c r="J240" s="39"/>
      <c r="K240" s="39"/>
      <c r="L240" s="39"/>
      <c r="M240" s="39"/>
      <c r="N240" s="39"/>
      <c r="O240" s="39"/>
      <c r="P240" s="33"/>
      <c r="Q240" s="87"/>
      <c r="R240" s="39"/>
      <c r="S240" s="87"/>
      <c r="T240" s="87"/>
      <c r="U240" s="39"/>
      <c r="V240" s="39"/>
      <c r="W240" s="39"/>
      <c r="X240" s="39"/>
      <c r="Y240" s="39"/>
      <c r="Z240" s="78"/>
      <c r="AA240" s="78"/>
      <c r="AB240" s="60"/>
      <c r="AC240" s="60"/>
      <c r="AD240" s="60"/>
      <c r="AE240" s="60"/>
      <c r="AF240" s="60"/>
      <c r="AG240" s="60"/>
      <c r="AH240" s="60"/>
      <c r="AI240" s="60"/>
    </row>
    <row r="241" spans="1:35" ht="31.5">
      <c r="A241" s="616"/>
      <c r="B241" s="39" t="s">
        <v>604</v>
      </c>
      <c r="C241" s="39"/>
      <c r="D241" s="39"/>
      <c r="E241" s="39"/>
      <c r="F241" s="39"/>
      <c r="G241" s="39"/>
      <c r="H241" s="39"/>
      <c r="I241" s="33">
        <v>1</v>
      </c>
      <c r="J241" s="39"/>
      <c r="K241" s="39"/>
      <c r="L241" s="39"/>
      <c r="M241" s="39"/>
      <c r="N241" s="39"/>
      <c r="O241" s="39"/>
      <c r="P241" s="33">
        <v>1</v>
      </c>
      <c r="Q241" s="84">
        <f aca="true" t="shared" si="6" ref="Q241:Q246">S241+T241</f>
        <v>0.15216440677966103</v>
      </c>
      <c r="R241" s="39"/>
      <c r="S241" s="84">
        <f aca="true" t="shared" si="7" ref="S241:S246">0.065297/1.18</f>
        <v>0.0553364406779661</v>
      </c>
      <c r="T241" s="84">
        <f aca="true" t="shared" si="8" ref="T241:T246">0.114257/1.18</f>
        <v>0.09682796610169492</v>
      </c>
      <c r="U241" s="39"/>
      <c r="V241" s="39"/>
      <c r="W241" s="39"/>
      <c r="X241" s="39"/>
      <c r="Y241" s="39"/>
      <c r="Z241" s="78">
        <v>2013</v>
      </c>
      <c r="AA241" s="78">
        <v>7</v>
      </c>
      <c r="AB241" s="60"/>
      <c r="AC241" s="60"/>
      <c r="AD241" s="60"/>
      <c r="AE241" s="60"/>
      <c r="AF241" s="60"/>
      <c r="AG241" s="60"/>
      <c r="AH241" s="60"/>
      <c r="AI241" s="60"/>
    </row>
    <row r="242" spans="1:35" ht="31.5">
      <c r="A242" s="616"/>
      <c r="B242" s="39" t="s">
        <v>605</v>
      </c>
      <c r="C242" s="39"/>
      <c r="D242" s="39"/>
      <c r="E242" s="39"/>
      <c r="F242" s="39"/>
      <c r="G242" s="39"/>
      <c r="H242" s="39"/>
      <c r="I242" s="33">
        <v>1</v>
      </c>
      <c r="J242" s="39"/>
      <c r="K242" s="39"/>
      <c r="L242" s="39"/>
      <c r="M242" s="39"/>
      <c r="N242" s="39"/>
      <c r="O242" s="39"/>
      <c r="P242" s="33">
        <v>1</v>
      </c>
      <c r="Q242" s="84">
        <f t="shared" si="6"/>
        <v>0.15216440677966103</v>
      </c>
      <c r="R242" s="39"/>
      <c r="S242" s="84">
        <f t="shared" si="7"/>
        <v>0.0553364406779661</v>
      </c>
      <c r="T242" s="84">
        <f t="shared" si="8"/>
        <v>0.09682796610169492</v>
      </c>
      <c r="U242" s="39"/>
      <c r="V242" s="39"/>
      <c r="W242" s="39"/>
      <c r="X242" s="39"/>
      <c r="Y242" s="39"/>
      <c r="Z242" s="78">
        <v>2013</v>
      </c>
      <c r="AA242" s="78">
        <v>7</v>
      </c>
      <c r="AB242" s="60"/>
      <c r="AC242" s="60"/>
      <c r="AD242" s="60"/>
      <c r="AE242" s="60"/>
      <c r="AF242" s="60"/>
      <c r="AG242" s="60"/>
      <c r="AH242" s="60"/>
      <c r="AI242" s="60"/>
    </row>
    <row r="243" spans="1:35" ht="31.5">
      <c r="A243" s="616"/>
      <c r="B243" s="39" t="s">
        <v>606</v>
      </c>
      <c r="C243" s="39"/>
      <c r="D243" s="39"/>
      <c r="E243" s="39"/>
      <c r="F243" s="39"/>
      <c r="G243" s="39"/>
      <c r="H243" s="39"/>
      <c r="I243" s="33">
        <v>1</v>
      </c>
      <c r="J243" s="39"/>
      <c r="K243" s="39"/>
      <c r="L243" s="39"/>
      <c r="M243" s="39"/>
      <c r="N243" s="39"/>
      <c r="O243" s="39"/>
      <c r="P243" s="33">
        <v>1</v>
      </c>
      <c r="Q243" s="84">
        <f t="shared" si="6"/>
        <v>0.15216440677966103</v>
      </c>
      <c r="R243" s="39"/>
      <c r="S243" s="84">
        <f t="shared" si="7"/>
        <v>0.0553364406779661</v>
      </c>
      <c r="T243" s="84">
        <f t="shared" si="8"/>
        <v>0.09682796610169492</v>
      </c>
      <c r="U243" s="39"/>
      <c r="V243" s="39"/>
      <c r="W243" s="39"/>
      <c r="X243" s="39"/>
      <c r="Y243" s="39"/>
      <c r="Z243" s="78">
        <v>2013</v>
      </c>
      <c r="AA243" s="78">
        <v>7</v>
      </c>
      <c r="AB243" s="60"/>
      <c r="AC243" s="60"/>
      <c r="AD243" s="60"/>
      <c r="AE243" s="60"/>
      <c r="AF243" s="60"/>
      <c r="AG243" s="60"/>
      <c r="AH243" s="60"/>
      <c r="AI243" s="60"/>
    </row>
    <row r="244" spans="1:35" ht="31.5">
      <c r="A244" s="616"/>
      <c r="B244" s="39" t="s">
        <v>607</v>
      </c>
      <c r="C244" s="39"/>
      <c r="D244" s="39"/>
      <c r="E244" s="39"/>
      <c r="F244" s="39"/>
      <c r="G244" s="39"/>
      <c r="H244" s="39"/>
      <c r="I244" s="33">
        <v>1</v>
      </c>
      <c r="J244" s="39"/>
      <c r="K244" s="39"/>
      <c r="L244" s="39"/>
      <c r="M244" s="39"/>
      <c r="N244" s="39"/>
      <c r="O244" s="39"/>
      <c r="P244" s="33">
        <v>1</v>
      </c>
      <c r="Q244" s="84">
        <f t="shared" si="6"/>
        <v>0.15216440677966103</v>
      </c>
      <c r="R244" s="39"/>
      <c r="S244" s="84">
        <f t="shared" si="7"/>
        <v>0.0553364406779661</v>
      </c>
      <c r="T244" s="84">
        <f t="shared" si="8"/>
        <v>0.09682796610169492</v>
      </c>
      <c r="U244" s="39"/>
      <c r="V244" s="39"/>
      <c r="W244" s="39"/>
      <c r="X244" s="39"/>
      <c r="Y244" s="39"/>
      <c r="Z244" s="78">
        <v>2013</v>
      </c>
      <c r="AA244" s="78">
        <v>7</v>
      </c>
      <c r="AB244" s="60"/>
      <c r="AC244" s="60"/>
      <c r="AD244" s="60"/>
      <c r="AE244" s="60"/>
      <c r="AF244" s="60"/>
      <c r="AG244" s="60"/>
      <c r="AH244" s="60"/>
      <c r="AI244" s="60"/>
    </row>
    <row r="245" spans="1:35" ht="31.5">
      <c r="A245" s="616"/>
      <c r="B245" s="39" t="s">
        <v>608</v>
      </c>
      <c r="C245" s="39"/>
      <c r="D245" s="39"/>
      <c r="E245" s="39"/>
      <c r="F245" s="39"/>
      <c r="G245" s="39"/>
      <c r="H245" s="39"/>
      <c r="I245" s="33">
        <v>1</v>
      </c>
      <c r="J245" s="39"/>
      <c r="K245" s="39"/>
      <c r="L245" s="39"/>
      <c r="M245" s="39"/>
      <c r="N245" s="39"/>
      <c r="O245" s="39"/>
      <c r="P245" s="33">
        <v>1</v>
      </c>
      <c r="Q245" s="84">
        <f t="shared" si="6"/>
        <v>0.15216440677966103</v>
      </c>
      <c r="R245" s="39"/>
      <c r="S245" s="84">
        <f t="shared" si="7"/>
        <v>0.0553364406779661</v>
      </c>
      <c r="T245" s="84">
        <f t="shared" si="8"/>
        <v>0.09682796610169492</v>
      </c>
      <c r="U245" s="39"/>
      <c r="V245" s="39"/>
      <c r="W245" s="39"/>
      <c r="X245" s="39"/>
      <c r="Y245" s="39"/>
      <c r="Z245" s="78">
        <v>2013</v>
      </c>
      <c r="AA245" s="78">
        <v>7</v>
      </c>
      <c r="AB245" s="60"/>
      <c r="AC245" s="60"/>
      <c r="AD245" s="60"/>
      <c r="AE245" s="60"/>
      <c r="AF245" s="60"/>
      <c r="AG245" s="60"/>
      <c r="AH245" s="60"/>
      <c r="AI245" s="60"/>
    </row>
    <row r="246" spans="1:35" ht="31.5">
      <c r="A246" s="616"/>
      <c r="B246" s="39" t="s">
        <v>609</v>
      </c>
      <c r="C246" s="39"/>
      <c r="D246" s="39"/>
      <c r="E246" s="39"/>
      <c r="F246" s="39"/>
      <c r="G246" s="39"/>
      <c r="H246" s="39"/>
      <c r="I246" s="33">
        <v>1</v>
      </c>
      <c r="J246" s="39"/>
      <c r="K246" s="39"/>
      <c r="L246" s="39"/>
      <c r="M246" s="39"/>
      <c r="N246" s="39"/>
      <c r="O246" s="39"/>
      <c r="P246" s="33">
        <v>1</v>
      </c>
      <c r="Q246" s="84">
        <f t="shared" si="6"/>
        <v>0.15216440677966103</v>
      </c>
      <c r="R246" s="39"/>
      <c r="S246" s="84">
        <f t="shared" si="7"/>
        <v>0.0553364406779661</v>
      </c>
      <c r="T246" s="84">
        <f t="shared" si="8"/>
        <v>0.09682796610169492</v>
      </c>
      <c r="U246" s="39"/>
      <c r="V246" s="39"/>
      <c r="W246" s="39"/>
      <c r="X246" s="39"/>
      <c r="Y246" s="39"/>
      <c r="Z246" s="78">
        <v>2013</v>
      </c>
      <c r="AA246" s="78">
        <v>7</v>
      </c>
      <c r="AB246" s="60"/>
      <c r="AC246" s="60"/>
      <c r="AD246" s="60"/>
      <c r="AE246" s="60"/>
      <c r="AF246" s="60"/>
      <c r="AG246" s="60"/>
      <c r="AH246" s="60"/>
      <c r="AI246" s="60"/>
    </row>
    <row r="247" spans="1:35" ht="15.75">
      <c r="A247" s="45"/>
      <c r="B247" s="35" t="s">
        <v>375</v>
      </c>
      <c r="C247" s="39"/>
      <c r="D247" s="39"/>
      <c r="E247" s="39"/>
      <c r="F247" s="39"/>
      <c r="G247" s="39"/>
      <c r="H247" s="39"/>
      <c r="I247" s="33"/>
      <c r="J247" s="39"/>
      <c r="K247" s="39"/>
      <c r="L247" s="39"/>
      <c r="M247" s="39"/>
      <c r="N247" s="39"/>
      <c r="O247" s="39"/>
      <c r="P247" s="39"/>
      <c r="Q247" s="87"/>
      <c r="R247" s="39"/>
      <c r="S247" s="87"/>
      <c r="T247" s="87"/>
      <c r="U247" s="39"/>
      <c r="V247" s="39"/>
      <c r="W247" s="39"/>
      <c r="X247" s="39"/>
      <c r="Y247" s="39"/>
      <c r="Z247" s="78">
        <v>2013</v>
      </c>
      <c r="AA247" s="78">
        <v>7</v>
      </c>
      <c r="AB247" s="60"/>
      <c r="AC247" s="60"/>
      <c r="AD247" s="60"/>
      <c r="AE247" s="60"/>
      <c r="AF247" s="60"/>
      <c r="AG247" s="60"/>
      <c r="AH247" s="60"/>
      <c r="AI247" s="60"/>
    </row>
    <row r="248" spans="1:35" ht="31.5">
      <c r="A248" s="616"/>
      <c r="B248" s="39" t="s">
        <v>610</v>
      </c>
      <c r="C248" s="39"/>
      <c r="D248" s="39"/>
      <c r="E248" s="39"/>
      <c r="F248" s="39"/>
      <c r="G248" s="39"/>
      <c r="H248" s="39"/>
      <c r="I248" s="33">
        <v>1</v>
      </c>
      <c r="J248" s="39"/>
      <c r="K248" s="39"/>
      <c r="L248" s="39"/>
      <c r="M248" s="39"/>
      <c r="N248" s="39"/>
      <c r="O248" s="39"/>
      <c r="P248" s="33">
        <v>1</v>
      </c>
      <c r="Q248" s="84">
        <f>S248+T248</f>
        <v>0.15216440677966103</v>
      </c>
      <c r="R248" s="39"/>
      <c r="S248" s="84">
        <f>0.065297/1.18</f>
        <v>0.0553364406779661</v>
      </c>
      <c r="T248" s="84">
        <f>0.114257/1.18</f>
        <v>0.09682796610169492</v>
      </c>
      <c r="U248" s="39"/>
      <c r="V248" s="39"/>
      <c r="W248" s="39"/>
      <c r="X248" s="39"/>
      <c r="Y248" s="39"/>
      <c r="Z248" s="78">
        <v>2013</v>
      </c>
      <c r="AA248" s="78">
        <v>7</v>
      </c>
      <c r="AB248" s="60"/>
      <c r="AC248" s="60"/>
      <c r="AD248" s="60"/>
      <c r="AE248" s="60"/>
      <c r="AF248" s="60"/>
      <c r="AG248" s="60"/>
      <c r="AH248" s="60"/>
      <c r="AI248" s="60"/>
    </row>
    <row r="249" spans="1:35" s="74" customFormat="1" ht="15.75">
      <c r="A249" s="45"/>
      <c r="B249" s="85" t="s">
        <v>611</v>
      </c>
      <c r="C249" s="35"/>
      <c r="D249" s="35"/>
      <c r="E249" s="35"/>
      <c r="F249" s="35"/>
      <c r="G249" s="35"/>
      <c r="H249" s="35"/>
      <c r="I249" s="30"/>
      <c r="J249" s="35"/>
      <c r="K249" s="35"/>
      <c r="L249" s="35"/>
      <c r="M249" s="35"/>
      <c r="N249" s="35"/>
      <c r="O249" s="35"/>
      <c r="P249" s="70">
        <f>SUM(P234:P248)</f>
        <v>12</v>
      </c>
      <c r="Q249" s="34">
        <f>SUM(Q234:Q248)</f>
        <v>1.8259728813559324</v>
      </c>
      <c r="R249" s="30"/>
      <c r="S249" s="92">
        <f>SUM(S234:S248)</f>
        <v>0.6640372881355932</v>
      </c>
      <c r="T249" s="92">
        <f>SUM(T234:T248)</f>
        <v>1.1619355932203388</v>
      </c>
      <c r="U249" s="35"/>
      <c r="V249" s="35"/>
      <c r="W249" s="35"/>
      <c r="X249" s="35"/>
      <c r="Y249" s="35"/>
      <c r="Z249" s="88"/>
      <c r="AA249" s="88"/>
      <c r="AB249" s="73"/>
      <c r="AC249" s="73"/>
      <c r="AD249" s="73"/>
      <c r="AE249" s="73"/>
      <c r="AF249" s="73"/>
      <c r="AG249" s="73"/>
      <c r="AH249" s="73"/>
      <c r="AI249" s="73"/>
    </row>
    <row r="250" spans="1:35" s="74" customFormat="1" ht="15.75">
      <c r="A250" s="45"/>
      <c r="B250" s="85"/>
      <c r="C250" s="35"/>
      <c r="D250" s="35"/>
      <c r="E250" s="35"/>
      <c r="F250" s="35"/>
      <c r="G250" s="35"/>
      <c r="H250" s="35"/>
      <c r="I250" s="30"/>
      <c r="J250" s="35"/>
      <c r="K250" s="35"/>
      <c r="L250" s="35"/>
      <c r="M250" s="35"/>
      <c r="N250" s="35"/>
      <c r="O250" s="35"/>
      <c r="P250" s="70"/>
      <c r="Q250" s="34"/>
      <c r="R250" s="30"/>
      <c r="S250" s="92"/>
      <c r="T250" s="92"/>
      <c r="U250" s="35"/>
      <c r="V250" s="35"/>
      <c r="W250" s="35"/>
      <c r="X250" s="35"/>
      <c r="Y250" s="35"/>
      <c r="Z250" s="88"/>
      <c r="AA250" s="88"/>
      <c r="AB250" s="73"/>
      <c r="AC250" s="73"/>
      <c r="AD250" s="73"/>
      <c r="AE250" s="73"/>
      <c r="AF250" s="73"/>
      <c r="AG250" s="73"/>
      <c r="AH250" s="73"/>
      <c r="AI250" s="73"/>
    </row>
    <row r="251" spans="1:35" ht="31.5">
      <c r="A251" s="45" t="s">
        <v>305</v>
      </c>
      <c r="B251" s="85" t="s">
        <v>612</v>
      </c>
      <c r="C251" s="39"/>
      <c r="D251" s="39"/>
      <c r="E251" s="39"/>
      <c r="F251" s="39"/>
      <c r="G251" s="39"/>
      <c r="H251" s="39"/>
      <c r="I251" s="33"/>
      <c r="J251" s="39"/>
      <c r="K251" s="39"/>
      <c r="L251" s="39"/>
      <c r="M251" s="39"/>
      <c r="N251" s="39"/>
      <c r="O251" s="39"/>
      <c r="P251" s="30">
        <v>200</v>
      </c>
      <c r="Q251" s="92">
        <f>(S251+T251)*P251</f>
        <v>3.6999999999999997</v>
      </c>
      <c r="R251" s="30"/>
      <c r="S251" s="92">
        <v>0</v>
      </c>
      <c r="T251" s="92">
        <v>0.0185</v>
      </c>
      <c r="U251" s="39"/>
      <c r="V251" s="39"/>
      <c r="W251" s="39"/>
      <c r="X251" s="39"/>
      <c r="Y251" s="39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</row>
    <row r="252" spans="1:35" s="74" customFormat="1" ht="15.75">
      <c r="A252" s="45"/>
      <c r="B252" s="35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5"/>
      <c r="S252" s="35"/>
      <c r="T252" s="35"/>
      <c r="U252" s="35"/>
      <c r="V252" s="30"/>
      <c r="W252" s="30"/>
      <c r="X252" s="30"/>
      <c r="Y252" s="30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</row>
    <row r="253" spans="1:35" ht="15.75">
      <c r="A253" s="45" t="s">
        <v>613</v>
      </c>
      <c r="B253" s="39" t="s">
        <v>307</v>
      </c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60"/>
      <c r="R253" s="60"/>
      <c r="S253" s="60"/>
      <c r="T253" s="60"/>
      <c r="U253" s="39"/>
      <c r="V253" s="30"/>
      <c r="W253" s="30"/>
      <c r="X253" s="30"/>
      <c r="Y253" s="30"/>
      <c r="Z253" s="78"/>
      <c r="AA253" s="60"/>
      <c r="AB253" s="60"/>
      <c r="AC253" s="60"/>
      <c r="AD253" s="60"/>
      <c r="AE253" s="60"/>
      <c r="AF253" s="60"/>
      <c r="AG253" s="60"/>
      <c r="AH253" s="60"/>
      <c r="AI253" s="60"/>
    </row>
    <row r="254" spans="1:35" ht="18.75">
      <c r="A254" s="30" t="s">
        <v>308</v>
      </c>
      <c r="B254" s="635" t="s">
        <v>309</v>
      </c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</row>
    <row r="255" spans="1:35" ht="18.75">
      <c r="A255" s="37" t="s">
        <v>209</v>
      </c>
      <c r="B255" s="635" t="s">
        <v>281</v>
      </c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</row>
    <row r="256" spans="1:35" ht="56.25">
      <c r="A256" s="37" t="s">
        <v>21</v>
      </c>
      <c r="B256" s="615" t="s">
        <v>44</v>
      </c>
      <c r="C256" s="82"/>
      <c r="D256" s="39"/>
      <c r="E256" s="39"/>
      <c r="F256" s="39"/>
      <c r="G256" s="39"/>
      <c r="H256" s="39"/>
      <c r="I256" s="65"/>
      <c r="J256" s="67"/>
      <c r="K256" s="39"/>
      <c r="L256" s="39"/>
      <c r="M256" s="39"/>
      <c r="N256" s="39"/>
      <c r="O256" s="67"/>
      <c r="P256" s="39"/>
      <c r="Q256" s="67"/>
      <c r="R256" s="39"/>
      <c r="S256" s="39"/>
      <c r="T256" s="39"/>
      <c r="U256" s="39"/>
      <c r="V256" s="39"/>
      <c r="W256" s="39"/>
      <c r="X256" s="39"/>
      <c r="Y256" s="39"/>
      <c r="Z256" s="60"/>
      <c r="AA256" s="60"/>
      <c r="AB256" s="65"/>
      <c r="AC256" s="67"/>
      <c r="AD256" s="60"/>
      <c r="AE256" s="60"/>
      <c r="AF256" s="60"/>
      <c r="AG256" s="60"/>
      <c r="AH256" s="60"/>
      <c r="AI256" s="60"/>
    </row>
    <row r="257" spans="1:35" ht="36" customHeight="1">
      <c r="A257" s="93"/>
      <c r="B257" s="39" t="s">
        <v>45</v>
      </c>
      <c r="C257" s="30"/>
      <c r="D257" s="30"/>
      <c r="E257" s="30"/>
      <c r="F257" s="30"/>
      <c r="G257" s="30"/>
      <c r="H257" s="30"/>
      <c r="I257" s="30"/>
      <c r="J257" s="34"/>
      <c r="K257" s="30"/>
      <c r="L257" s="30"/>
      <c r="M257" s="30"/>
      <c r="N257" s="30"/>
      <c r="O257" s="30"/>
      <c r="P257" s="30"/>
      <c r="Q257" s="34">
        <f>Q258+Q259</f>
        <v>5.2704</v>
      </c>
      <c r="R257" s="34">
        <f>R258+R259</f>
        <v>0.23</v>
      </c>
      <c r="S257" s="34">
        <f>S258+S259</f>
        <v>0.79</v>
      </c>
      <c r="T257" s="34">
        <f>T258+T259</f>
        <v>4.2304</v>
      </c>
      <c r="U257" s="34">
        <f>U258+U259</f>
        <v>0.02</v>
      </c>
      <c r="V257" s="33"/>
      <c r="W257" s="30"/>
      <c r="X257" s="30"/>
      <c r="Y257" s="30"/>
      <c r="Z257" s="88"/>
      <c r="AA257" s="88"/>
      <c r="AB257" s="30"/>
      <c r="AC257" s="94"/>
      <c r="AD257" s="88"/>
      <c r="AE257" s="88"/>
      <c r="AF257" s="30"/>
      <c r="AG257" s="95"/>
      <c r="AH257" s="30"/>
      <c r="AI257" s="60"/>
    </row>
    <row r="258" spans="1:35" ht="31.5" customHeight="1">
      <c r="A258" s="96"/>
      <c r="B258" s="33" t="s">
        <v>0</v>
      </c>
      <c r="C258" s="30"/>
      <c r="D258" s="30"/>
      <c r="E258" s="30"/>
      <c r="F258" s="30"/>
      <c r="G258" s="30"/>
      <c r="H258" s="30"/>
      <c r="I258" s="30"/>
      <c r="J258" s="34"/>
      <c r="K258" s="30"/>
      <c r="L258" s="30"/>
      <c r="M258" s="30"/>
      <c r="N258" s="30"/>
      <c r="O258" s="30"/>
      <c r="P258" s="30"/>
      <c r="Q258" s="40">
        <f>R258+S258+T258+U258</f>
        <v>3.7704000000000004</v>
      </c>
      <c r="R258" s="33">
        <v>0.03</v>
      </c>
      <c r="S258" s="33">
        <v>0.4</v>
      </c>
      <c r="T258" s="40">
        <f>3.1204+0.2</f>
        <v>3.3204000000000002</v>
      </c>
      <c r="U258" s="33">
        <v>0.02</v>
      </c>
      <c r="V258" s="30"/>
      <c r="W258" s="30"/>
      <c r="X258" s="30"/>
      <c r="Y258" s="30"/>
      <c r="Z258" s="88">
        <v>2013</v>
      </c>
      <c r="AA258" s="88">
        <v>20</v>
      </c>
      <c r="AB258" s="30" t="s">
        <v>614</v>
      </c>
      <c r="AC258" s="94">
        <v>1.26</v>
      </c>
      <c r="AD258" s="88"/>
      <c r="AE258" s="88"/>
      <c r="AF258" s="30"/>
      <c r="AG258" s="95"/>
      <c r="AH258" s="30"/>
      <c r="AI258" s="60"/>
    </row>
    <row r="259" spans="1:35" ht="19.5" customHeight="1">
      <c r="A259" s="96"/>
      <c r="B259" s="33" t="s">
        <v>1</v>
      </c>
      <c r="C259" s="30"/>
      <c r="D259" s="30"/>
      <c r="E259" s="30"/>
      <c r="F259" s="30"/>
      <c r="G259" s="30"/>
      <c r="H259" s="30"/>
      <c r="I259" s="30"/>
      <c r="J259" s="34"/>
      <c r="K259" s="30"/>
      <c r="L259" s="30"/>
      <c r="M259" s="30"/>
      <c r="N259" s="30"/>
      <c r="O259" s="30"/>
      <c r="P259" s="30"/>
      <c r="Q259" s="33">
        <f>R259+S259+T259+U259</f>
        <v>1.5</v>
      </c>
      <c r="R259" s="33">
        <v>0.2</v>
      </c>
      <c r="S259" s="33">
        <v>0.39</v>
      </c>
      <c r="T259" s="33">
        <v>0.91</v>
      </c>
      <c r="U259" s="33"/>
      <c r="V259" s="30"/>
      <c r="W259" s="30"/>
      <c r="X259" s="30"/>
      <c r="Y259" s="30"/>
      <c r="Z259" s="88"/>
      <c r="AA259" s="88"/>
      <c r="AB259" s="30"/>
      <c r="AC259" s="94"/>
      <c r="AD259" s="88">
        <v>2013</v>
      </c>
      <c r="AE259" s="88">
        <v>20</v>
      </c>
      <c r="AF259" s="30">
        <v>0</v>
      </c>
      <c r="AG259" s="95" t="s">
        <v>3</v>
      </c>
      <c r="AH259" s="30">
        <v>1.5</v>
      </c>
      <c r="AI259" s="60"/>
    </row>
    <row r="260" spans="1:35" ht="31.5">
      <c r="A260" s="96"/>
      <c r="B260" s="39" t="s">
        <v>38</v>
      </c>
      <c r="C260" s="30"/>
      <c r="D260" s="30"/>
      <c r="E260" s="30"/>
      <c r="F260" s="30"/>
      <c r="G260" s="30"/>
      <c r="H260" s="30"/>
      <c r="I260" s="30"/>
      <c r="J260" s="34"/>
      <c r="K260" s="30"/>
      <c r="L260" s="30"/>
      <c r="M260" s="30"/>
      <c r="N260" s="30"/>
      <c r="O260" s="30"/>
      <c r="P260" s="30"/>
      <c r="Q260" s="30">
        <f>Q261+Q262</f>
        <v>4.521100000000001</v>
      </c>
      <c r="R260" s="30">
        <f>R261+R262</f>
        <v>0.1</v>
      </c>
      <c r="S260" s="30">
        <f>S261+S262</f>
        <v>0.6000000000000001</v>
      </c>
      <c r="T260" s="34">
        <f>T261+T262</f>
        <v>3.8011</v>
      </c>
      <c r="U260" s="30">
        <f>U261+U262</f>
        <v>0.02</v>
      </c>
      <c r="V260" s="30"/>
      <c r="W260" s="30"/>
      <c r="X260" s="30"/>
      <c r="Y260" s="30"/>
      <c r="Z260" s="88"/>
      <c r="AA260" s="88"/>
      <c r="AB260" s="30"/>
      <c r="AC260" s="94"/>
      <c r="AD260" s="88"/>
      <c r="AE260" s="88"/>
      <c r="AF260" s="30"/>
      <c r="AG260" s="97"/>
      <c r="AH260" s="30"/>
      <c r="AI260" s="60"/>
    </row>
    <row r="261" spans="1:35" ht="27.75" customHeight="1">
      <c r="A261" s="96"/>
      <c r="B261" s="33" t="s">
        <v>0</v>
      </c>
      <c r="C261" s="30"/>
      <c r="D261" s="30"/>
      <c r="E261" s="30"/>
      <c r="F261" s="30"/>
      <c r="G261" s="30"/>
      <c r="H261" s="30"/>
      <c r="I261" s="30"/>
      <c r="J261" s="34"/>
      <c r="K261" s="30"/>
      <c r="L261" s="30"/>
      <c r="M261" s="30"/>
      <c r="N261" s="30"/>
      <c r="O261" s="30"/>
      <c r="P261" s="30"/>
      <c r="Q261" s="40">
        <f>R261+S261+T261+U261</f>
        <v>3.821</v>
      </c>
      <c r="R261" s="33">
        <v>0.03</v>
      </c>
      <c r="S261" s="33">
        <v>0.4</v>
      </c>
      <c r="T261" s="40">
        <f>3.171+0.1+0.1</f>
        <v>3.371</v>
      </c>
      <c r="U261" s="33">
        <v>0.02</v>
      </c>
      <c r="V261" s="30"/>
      <c r="W261" s="30"/>
      <c r="X261" s="30"/>
      <c r="Y261" s="30"/>
      <c r="Z261" s="88">
        <v>2013</v>
      </c>
      <c r="AA261" s="88">
        <v>20</v>
      </c>
      <c r="AB261" s="30" t="s">
        <v>23</v>
      </c>
      <c r="AC261" s="94">
        <v>2</v>
      </c>
      <c r="AD261" s="88"/>
      <c r="AE261" s="88"/>
      <c r="AF261" s="30"/>
      <c r="AG261" s="95"/>
      <c r="AH261" s="30"/>
      <c r="AI261" s="60"/>
    </row>
    <row r="262" spans="1:35" ht="19.5" customHeight="1">
      <c r="A262" s="96"/>
      <c r="B262" s="33" t="s">
        <v>1</v>
      </c>
      <c r="C262" s="30"/>
      <c r="D262" s="30"/>
      <c r="E262" s="30"/>
      <c r="F262" s="30"/>
      <c r="G262" s="30"/>
      <c r="H262" s="30"/>
      <c r="I262" s="30"/>
      <c r="J262" s="34"/>
      <c r="K262" s="30"/>
      <c r="L262" s="30"/>
      <c r="M262" s="30"/>
      <c r="N262" s="30"/>
      <c r="O262" s="30"/>
      <c r="P262" s="30"/>
      <c r="Q262" s="40">
        <f>R262+S262+T262+U262</f>
        <v>0.7001000000000001</v>
      </c>
      <c r="R262" s="33">
        <v>0.07</v>
      </c>
      <c r="S262" s="33">
        <v>0.2</v>
      </c>
      <c r="T262" s="40">
        <f>0.3301+0.1</f>
        <v>0.43010000000000004</v>
      </c>
      <c r="U262" s="33"/>
      <c r="V262" s="30"/>
      <c r="W262" s="30"/>
      <c r="X262" s="30"/>
      <c r="Y262" s="30"/>
      <c r="Z262" s="88"/>
      <c r="AA262" s="88"/>
      <c r="AB262" s="30"/>
      <c r="AC262" s="94"/>
      <c r="AD262" s="88">
        <v>2013</v>
      </c>
      <c r="AE262" s="88">
        <v>20</v>
      </c>
      <c r="AF262" s="30">
        <v>0</v>
      </c>
      <c r="AG262" s="95" t="s">
        <v>3</v>
      </c>
      <c r="AH262" s="30">
        <v>0.6</v>
      </c>
      <c r="AI262" s="60"/>
    </row>
    <row r="263" spans="1:35" ht="49.5" customHeight="1">
      <c r="A263" s="96"/>
      <c r="B263" s="39" t="s">
        <v>47</v>
      </c>
      <c r="C263" s="30"/>
      <c r="D263" s="30"/>
      <c r="E263" s="30"/>
      <c r="F263" s="30"/>
      <c r="G263" s="30"/>
      <c r="H263" s="30"/>
      <c r="I263" s="30"/>
      <c r="J263" s="34"/>
      <c r="K263" s="30"/>
      <c r="L263" s="30"/>
      <c r="M263" s="30"/>
      <c r="N263" s="30"/>
      <c r="O263" s="30"/>
      <c r="P263" s="30"/>
      <c r="Q263" s="34">
        <f>Q264+Q265</f>
        <v>0.6831</v>
      </c>
      <c r="R263" s="34">
        <f>R264+R265</f>
        <v>0.07</v>
      </c>
      <c r="S263" s="34">
        <f>S264+S265</f>
        <v>0.203</v>
      </c>
      <c r="T263" s="34">
        <f>T264+T265</f>
        <v>0.4101</v>
      </c>
      <c r="U263" s="34">
        <f>U264+U265</f>
        <v>0</v>
      </c>
      <c r="V263" s="30"/>
      <c r="W263" s="30"/>
      <c r="X263" s="30"/>
      <c r="Y263" s="30"/>
      <c r="Z263" s="88"/>
      <c r="AA263" s="88"/>
      <c r="AB263" s="30"/>
      <c r="AC263" s="94"/>
      <c r="AD263" s="88"/>
      <c r="AE263" s="88"/>
      <c r="AF263" s="30"/>
      <c r="AG263" s="95"/>
      <c r="AH263" s="30"/>
      <c r="AI263" s="60"/>
    </row>
    <row r="264" spans="1:35" ht="33.75" customHeight="1">
      <c r="A264" s="96"/>
      <c r="B264" s="33" t="s">
        <v>25</v>
      </c>
      <c r="C264" s="30"/>
      <c r="D264" s="30"/>
      <c r="E264" s="30"/>
      <c r="F264" s="30"/>
      <c r="G264" s="30"/>
      <c r="H264" s="30"/>
      <c r="I264" s="30"/>
      <c r="J264" s="34"/>
      <c r="K264" s="30"/>
      <c r="L264" s="30"/>
      <c r="M264" s="30"/>
      <c r="N264" s="30"/>
      <c r="O264" s="30"/>
      <c r="P264" s="30"/>
      <c r="Q264" s="40">
        <f>R264+S264+T264+U264</f>
        <v>0.083</v>
      </c>
      <c r="R264" s="33"/>
      <c r="S264" s="33">
        <v>0.003</v>
      </c>
      <c r="T264" s="40">
        <f>0.064+0.016</f>
        <v>0.08</v>
      </c>
      <c r="U264" s="33"/>
      <c r="V264" s="30"/>
      <c r="W264" s="30"/>
      <c r="X264" s="30"/>
      <c r="Y264" s="30"/>
      <c r="Z264" s="88">
        <v>2013</v>
      </c>
      <c r="AA264" s="88">
        <v>20</v>
      </c>
      <c r="AB264" s="30"/>
      <c r="AC264" s="94"/>
      <c r="AD264" s="88"/>
      <c r="AE264" s="88"/>
      <c r="AF264" s="30"/>
      <c r="AG264" s="95"/>
      <c r="AH264" s="30"/>
      <c r="AI264" s="35" t="s">
        <v>410</v>
      </c>
    </row>
    <row r="265" spans="1:35" ht="19.5" customHeight="1">
      <c r="A265" s="96"/>
      <c r="B265" s="33" t="s">
        <v>2</v>
      </c>
      <c r="C265" s="30"/>
      <c r="D265" s="30"/>
      <c r="E265" s="30"/>
      <c r="F265" s="30"/>
      <c r="G265" s="30"/>
      <c r="H265" s="30"/>
      <c r="I265" s="30"/>
      <c r="J265" s="34"/>
      <c r="K265" s="30"/>
      <c r="L265" s="30"/>
      <c r="M265" s="30"/>
      <c r="N265" s="30"/>
      <c r="O265" s="30"/>
      <c r="P265" s="30"/>
      <c r="Q265" s="40">
        <f>R265+S265+T265+U265</f>
        <v>0.6001000000000001</v>
      </c>
      <c r="R265" s="33">
        <v>0.07</v>
      </c>
      <c r="S265" s="33">
        <v>0.2</v>
      </c>
      <c r="T265" s="40">
        <v>0.3301</v>
      </c>
      <c r="U265" s="33"/>
      <c r="V265" s="30"/>
      <c r="W265" s="30"/>
      <c r="X265" s="30"/>
      <c r="Y265" s="30"/>
      <c r="Z265" s="88"/>
      <c r="AA265" s="88"/>
      <c r="AB265" s="30"/>
      <c r="AC265" s="94"/>
      <c r="AD265" s="88">
        <v>2013</v>
      </c>
      <c r="AE265" s="88">
        <v>20</v>
      </c>
      <c r="AF265" s="30">
        <v>0</v>
      </c>
      <c r="AG265" s="95" t="s">
        <v>4</v>
      </c>
      <c r="AH265" s="30" t="s">
        <v>24</v>
      </c>
      <c r="AI265" s="60"/>
    </row>
    <row r="266" spans="1:35" ht="33.75" customHeight="1">
      <c r="A266" s="96"/>
      <c r="B266" s="39" t="s">
        <v>46</v>
      </c>
      <c r="C266" s="30"/>
      <c r="D266" s="30"/>
      <c r="E266" s="30"/>
      <c r="F266" s="30"/>
      <c r="G266" s="30"/>
      <c r="H266" s="30"/>
      <c r="I266" s="30"/>
      <c r="J266" s="34"/>
      <c r="K266" s="30"/>
      <c r="L266" s="30"/>
      <c r="M266" s="30"/>
      <c r="N266" s="30"/>
      <c r="O266" s="30"/>
      <c r="P266" s="30"/>
      <c r="Q266" s="34">
        <f>Q267</f>
        <v>0.081</v>
      </c>
      <c r="R266" s="34">
        <f>R267</f>
        <v>0.01</v>
      </c>
      <c r="S266" s="34">
        <f>S267</f>
        <v>0.021</v>
      </c>
      <c r="T266" s="34">
        <f>T267</f>
        <v>0.05</v>
      </c>
      <c r="U266" s="34">
        <f>U267</f>
        <v>0</v>
      </c>
      <c r="V266" s="30"/>
      <c r="W266" s="30"/>
      <c r="X266" s="30"/>
      <c r="Y266" s="30"/>
      <c r="Z266" s="88"/>
      <c r="AA266" s="88"/>
      <c r="AB266" s="30"/>
      <c r="AC266" s="94"/>
      <c r="AD266" s="88"/>
      <c r="AE266" s="88"/>
      <c r="AF266" s="30"/>
      <c r="AG266" s="95"/>
      <c r="AH266" s="30"/>
      <c r="AI266" s="60"/>
    </row>
    <row r="267" spans="1:35" ht="19.5" customHeight="1">
      <c r="A267" s="96"/>
      <c r="B267" s="33" t="s">
        <v>2</v>
      </c>
      <c r="C267" s="30"/>
      <c r="D267" s="30"/>
      <c r="E267" s="30"/>
      <c r="F267" s="30"/>
      <c r="G267" s="30"/>
      <c r="H267" s="30"/>
      <c r="I267" s="30"/>
      <c r="J267" s="34"/>
      <c r="K267" s="30"/>
      <c r="L267" s="30"/>
      <c r="M267" s="30"/>
      <c r="N267" s="30"/>
      <c r="O267" s="30"/>
      <c r="P267" s="30"/>
      <c r="Q267" s="33">
        <f>R267+S267+T267</f>
        <v>0.081</v>
      </c>
      <c r="R267" s="33">
        <v>0.01</v>
      </c>
      <c r="S267" s="33">
        <v>0.021</v>
      </c>
      <c r="T267" s="33">
        <v>0.05</v>
      </c>
      <c r="U267" s="33"/>
      <c r="V267" s="30"/>
      <c r="W267" s="30"/>
      <c r="X267" s="30"/>
      <c r="Y267" s="30"/>
      <c r="Z267" s="88"/>
      <c r="AA267" s="88"/>
      <c r="AB267" s="30"/>
      <c r="AC267" s="94"/>
      <c r="AD267" s="88">
        <v>2013</v>
      </c>
      <c r="AE267" s="88">
        <v>20</v>
      </c>
      <c r="AF267" s="30">
        <v>0</v>
      </c>
      <c r="AG267" s="95" t="s">
        <v>4</v>
      </c>
      <c r="AH267" s="30">
        <v>0.102</v>
      </c>
      <c r="AI267" s="60"/>
    </row>
    <row r="268" spans="1:35" ht="19.5" customHeight="1">
      <c r="A268" s="96"/>
      <c r="B268" s="33"/>
      <c r="C268" s="30"/>
      <c r="D268" s="30"/>
      <c r="E268" s="30"/>
      <c r="F268" s="30"/>
      <c r="G268" s="30"/>
      <c r="H268" s="30"/>
      <c r="I268" s="30"/>
      <c r="J268" s="34"/>
      <c r="K268" s="30"/>
      <c r="L268" s="30"/>
      <c r="M268" s="30"/>
      <c r="N268" s="30"/>
      <c r="O268" s="30"/>
      <c r="P268" s="30"/>
      <c r="Q268" s="40"/>
      <c r="R268" s="33"/>
      <c r="S268" s="33"/>
      <c r="T268" s="40"/>
      <c r="U268" s="33"/>
      <c r="V268" s="30"/>
      <c r="W268" s="30"/>
      <c r="X268" s="30"/>
      <c r="Y268" s="30"/>
      <c r="Z268" s="88"/>
      <c r="AA268" s="88"/>
      <c r="AB268" s="30"/>
      <c r="AC268" s="94"/>
      <c r="AD268" s="88"/>
      <c r="AE268" s="88"/>
      <c r="AF268" s="30"/>
      <c r="AG268" s="95"/>
      <c r="AH268" s="30"/>
      <c r="AI268" s="60"/>
    </row>
    <row r="269" spans="1:35" s="74" customFormat="1" ht="19.5" customHeight="1">
      <c r="A269" s="641"/>
      <c r="B269" s="30" t="s">
        <v>42</v>
      </c>
      <c r="C269" s="30"/>
      <c r="D269" s="30"/>
      <c r="E269" s="30"/>
      <c r="F269" s="30"/>
      <c r="G269" s="30"/>
      <c r="H269" s="30"/>
      <c r="I269" s="30"/>
      <c r="J269" s="34"/>
      <c r="K269" s="30"/>
      <c r="L269" s="30"/>
      <c r="M269" s="30"/>
      <c r="N269" s="30"/>
      <c r="O269" s="30"/>
      <c r="P269" s="30"/>
      <c r="Q269" s="34">
        <f>Q258+Q261</f>
        <v>7.5914</v>
      </c>
      <c r="R269" s="34">
        <f>R258+R261</f>
        <v>0.06</v>
      </c>
      <c r="S269" s="34">
        <f>S258+S261</f>
        <v>0.8</v>
      </c>
      <c r="T269" s="34">
        <f>T258+T261</f>
        <v>6.6914</v>
      </c>
      <c r="U269" s="34">
        <f>U258+U261</f>
        <v>0.04</v>
      </c>
      <c r="V269" s="30"/>
      <c r="W269" s="30"/>
      <c r="X269" s="30"/>
      <c r="Y269" s="30"/>
      <c r="Z269" s="88"/>
      <c r="AA269" s="88"/>
      <c r="AB269" s="30"/>
      <c r="AC269" s="94"/>
      <c r="AD269" s="88"/>
      <c r="AE269" s="88"/>
      <c r="AF269" s="30"/>
      <c r="AG269" s="95"/>
      <c r="AH269" s="30"/>
      <c r="AI269" s="73"/>
    </row>
    <row r="270" spans="1:35" s="74" customFormat="1" ht="19.5" customHeight="1">
      <c r="A270" s="641"/>
      <c r="B270" s="30" t="s">
        <v>48</v>
      </c>
      <c r="C270" s="30"/>
      <c r="D270" s="30"/>
      <c r="E270" s="30"/>
      <c r="F270" s="30"/>
      <c r="G270" s="30"/>
      <c r="H270" s="30"/>
      <c r="I270" s="30"/>
      <c r="J270" s="34"/>
      <c r="K270" s="30"/>
      <c r="L270" s="30"/>
      <c r="M270" s="30"/>
      <c r="N270" s="30"/>
      <c r="O270" s="30"/>
      <c r="P270" s="30"/>
      <c r="Q270" s="34">
        <f>Q259+Q262+Q265+Q267</f>
        <v>2.8812</v>
      </c>
      <c r="R270" s="34">
        <f>R259+R262+R265+R267</f>
        <v>0.35000000000000003</v>
      </c>
      <c r="S270" s="34">
        <f>S259+S262+S265+S267</f>
        <v>0.811</v>
      </c>
      <c r="T270" s="34">
        <f>T259+T262+T265+T267</f>
        <v>1.7202000000000002</v>
      </c>
      <c r="U270" s="34">
        <f>U259+U262+U265+U267</f>
        <v>0</v>
      </c>
      <c r="V270" s="30"/>
      <c r="W270" s="30"/>
      <c r="X270" s="30"/>
      <c r="Y270" s="30"/>
      <c r="Z270" s="88"/>
      <c r="AA270" s="88"/>
      <c r="AB270" s="30"/>
      <c r="AC270" s="94"/>
      <c r="AD270" s="88"/>
      <c r="AE270" s="88"/>
      <c r="AF270" s="30"/>
      <c r="AG270" s="95"/>
      <c r="AH270" s="30"/>
      <c r="AI270" s="73"/>
    </row>
    <row r="271" spans="1:35" s="74" customFormat="1" ht="19.5" customHeight="1">
      <c r="A271" s="641"/>
      <c r="B271" s="30" t="s">
        <v>43</v>
      </c>
      <c r="C271" s="30"/>
      <c r="D271" s="30"/>
      <c r="E271" s="30"/>
      <c r="F271" s="30"/>
      <c r="G271" s="30"/>
      <c r="H271" s="30"/>
      <c r="I271" s="30"/>
      <c r="J271" s="34"/>
      <c r="K271" s="30"/>
      <c r="L271" s="30"/>
      <c r="M271" s="30"/>
      <c r="N271" s="30"/>
      <c r="O271" s="30"/>
      <c r="P271" s="30"/>
      <c r="Q271" s="34">
        <f>Q264</f>
        <v>0.083</v>
      </c>
      <c r="R271" s="34">
        <f>R264</f>
        <v>0</v>
      </c>
      <c r="S271" s="34">
        <f>S264</f>
        <v>0.003</v>
      </c>
      <c r="T271" s="34">
        <f>T264</f>
        <v>0.08</v>
      </c>
      <c r="U271" s="34">
        <f>U264</f>
        <v>0</v>
      </c>
      <c r="V271" s="30"/>
      <c r="W271" s="30"/>
      <c r="X271" s="30"/>
      <c r="Y271" s="30"/>
      <c r="Z271" s="88"/>
      <c r="AA271" s="88"/>
      <c r="AB271" s="30"/>
      <c r="AC271" s="94"/>
      <c r="AD271" s="88"/>
      <c r="AE271" s="88"/>
      <c r="AF271" s="30"/>
      <c r="AG271" s="95"/>
      <c r="AH271" s="30"/>
      <c r="AI271" s="73"/>
    </row>
    <row r="272" spans="1:35" ht="19.5" customHeight="1">
      <c r="A272" s="96"/>
      <c r="B272" s="33"/>
      <c r="C272" s="30"/>
      <c r="D272" s="30"/>
      <c r="E272" s="30"/>
      <c r="F272" s="30"/>
      <c r="G272" s="30"/>
      <c r="H272" s="30"/>
      <c r="I272" s="30"/>
      <c r="J272" s="34"/>
      <c r="K272" s="30"/>
      <c r="L272" s="30"/>
      <c r="M272" s="30"/>
      <c r="N272" s="30"/>
      <c r="O272" s="30"/>
      <c r="P272" s="30"/>
      <c r="Q272" s="40"/>
      <c r="R272" s="33"/>
      <c r="S272" s="33"/>
      <c r="T272" s="40"/>
      <c r="U272" s="33"/>
      <c r="V272" s="30"/>
      <c r="W272" s="30"/>
      <c r="X272" s="30"/>
      <c r="Y272" s="30"/>
      <c r="Z272" s="88"/>
      <c r="AA272" s="88"/>
      <c r="AB272" s="30"/>
      <c r="AC272" s="94"/>
      <c r="AD272" s="88"/>
      <c r="AE272" s="88"/>
      <c r="AF272" s="30"/>
      <c r="AG272" s="95"/>
      <c r="AH272" s="30"/>
      <c r="AI272" s="60"/>
    </row>
    <row r="273" spans="1:35" s="640" customFormat="1" ht="20.25">
      <c r="A273" s="634"/>
      <c r="B273" s="642" t="s">
        <v>362</v>
      </c>
      <c r="C273" s="635"/>
      <c r="D273" s="635"/>
      <c r="E273" s="635"/>
      <c r="F273" s="635"/>
      <c r="G273" s="635"/>
      <c r="H273" s="635"/>
      <c r="I273" s="635"/>
      <c r="J273" s="635"/>
      <c r="K273" s="635"/>
      <c r="L273" s="635"/>
      <c r="M273" s="635"/>
      <c r="N273" s="635"/>
      <c r="O273" s="635"/>
      <c r="P273" s="635"/>
      <c r="Q273" s="636">
        <f>Q269+Q270+Q271</f>
        <v>10.5556</v>
      </c>
      <c r="R273" s="636">
        <f>R269+R270+R271</f>
        <v>0.41000000000000003</v>
      </c>
      <c r="S273" s="636">
        <f>S269+S270+S271</f>
        <v>1.614</v>
      </c>
      <c r="T273" s="636">
        <f>T269+T270+T271</f>
        <v>8.4916</v>
      </c>
      <c r="U273" s="636">
        <f>U269+U270+U271</f>
        <v>0.04</v>
      </c>
      <c r="V273" s="635"/>
      <c r="W273" s="635"/>
      <c r="X273" s="635"/>
      <c r="Y273" s="635"/>
      <c r="Z273" s="637"/>
      <c r="AA273" s="635"/>
      <c r="AB273" s="635"/>
      <c r="AC273" s="636">
        <f>AC258+AC261</f>
        <v>3.26</v>
      </c>
      <c r="AD273" s="637"/>
      <c r="AE273" s="637"/>
      <c r="AF273" s="635"/>
      <c r="AG273" s="638"/>
      <c r="AH273" s="635">
        <f>AH259+AH262+0.6+AH267</f>
        <v>2.802</v>
      </c>
      <c r="AI273" s="639"/>
    </row>
    <row r="274" spans="1:35" ht="15" customHeight="1">
      <c r="A274" s="678" t="s">
        <v>313</v>
      </c>
      <c r="B274" s="67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39"/>
      <c r="S274" s="39"/>
      <c r="T274" s="39"/>
      <c r="U274" s="39"/>
      <c r="V274" s="62"/>
      <c r="W274" s="62"/>
      <c r="X274" s="62"/>
      <c r="Y274" s="62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</row>
    <row r="275" spans="1:35" ht="15.75">
      <c r="A275" s="30"/>
      <c r="B275" s="30" t="s">
        <v>314</v>
      </c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9"/>
      <c r="S275" s="39"/>
      <c r="T275" s="39"/>
      <c r="U275" s="39"/>
      <c r="V275" s="30"/>
      <c r="W275" s="30"/>
      <c r="X275" s="30"/>
      <c r="Y275" s="3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</row>
    <row r="276" spans="1:35" ht="15.75">
      <c r="A276" s="33">
        <v>1</v>
      </c>
      <c r="B276" s="39" t="s">
        <v>615</v>
      </c>
      <c r="C276" s="39"/>
      <c r="D276" s="39"/>
      <c r="E276" s="39"/>
      <c r="F276" s="39"/>
      <c r="G276" s="39"/>
      <c r="H276" s="39"/>
      <c r="I276" s="33"/>
      <c r="J276" s="39"/>
      <c r="K276" s="39"/>
      <c r="L276" s="39"/>
      <c r="M276" s="39"/>
      <c r="N276" s="39"/>
      <c r="O276" s="39"/>
      <c r="P276" s="39"/>
      <c r="Q276" s="33"/>
      <c r="R276" s="39"/>
      <c r="S276" s="39"/>
      <c r="T276" s="39"/>
      <c r="U276" s="39"/>
      <c r="V276" s="39"/>
      <c r="W276" s="39"/>
      <c r="X276" s="39"/>
      <c r="Y276" s="39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</row>
    <row r="277" spans="1:35" ht="15.75">
      <c r="A277" s="33">
        <v>2</v>
      </c>
      <c r="B277" s="39" t="s">
        <v>616</v>
      </c>
      <c r="C277" s="39"/>
      <c r="D277" s="39"/>
      <c r="E277" s="39"/>
      <c r="F277" s="39"/>
      <c r="G277" s="39"/>
      <c r="H277" s="39"/>
      <c r="I277" s="33"/>
      <c r="J277" s="39"/>
      <c r="K277" s="39"/>
      <c r="L277" s="39"/>
      <c r="M277" s="39"/>
      <c r="N277" s="39"/>
      <c r="O277" s="39"/>
      <c r="P277" s="39"/>
      <c r="Q277" s="33"/>
      <c r="R277" s="39"/>
      <c r="S277" s="39"/>
      <c r="T277" s="39"/>
      <c r="U277" s="39"/>
      <c r="V277" s="39"/>
      <c r="W277" s="39"/>
      <c r="X277" s="39"/>
      <c r="Y277" s="39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</row>
    <row r="278" spans="1:35" ht="15.75">
      <c r="A278" s="33" t="s">
        <v>617</v>
      </c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40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</row>
    <row r="279" spans="1:25" ht="15.75">
      <c r="A279" s="98"/>
      <c r="B279" s="49"/>
      <c r="C279" s="49"/>
      <c r="D279" s="49"/>
      <c r="E279" s="49"/>
      <c r="F279" s="49"/>
      <c r="G279" s="49"/>
      <c r="H279" s="49"/>
      <c r="I279" s="99"/>
      <c r="J279" s="49"/>
      <c r="K279" s="49"/>
      <c r="L279" s="49"/>
      <c r="M279" s="49"/>
      <c r="N279" s="49"/>
      <c r="O279" s="49"/>
      <c r="P279" s="49"/>
      <c r="Q279" s="659">
        <f>Q20+Q46+Q84+Q103+Q170+Q198+Q208+Q218+Q231+Q249+Q251+Q273</f>
        <v>69.22110956508475</v>
      </c>
      <c r="R279" s="49"/>
      <c r="S279" s="49"/>
      <c r="T279" s="49"/>
      <c r="U279" s="49"/>
      <c r="V279" s="49"/>
      <c r="W279" s="49"/>
      <c r="X279" s="49"/>
      <c r="Y279" s="49"/>
    </row>
    <row r="280" spans="1:25" ht="15" customHeight="1">
      <c r="A280" s="98"/>
      <c r="B280" s="679" t="s">
        <v>618</v>
      </c>
      <c r="C280" s="679"/>
      <c r="D280" s="679"/>
      <c r="E280" s="679"/>
      <c r="F280" s="679"/>
      <c r="G280" s="679"/>
      <c r="H280" s="679"/>
      <c r="I280" s="679"/>
      <c r="J280" s="679"/>
      <c r="K280" s="679"/>
      <c r="L280" s="679"/>
      <c r="M280" s="679"/>
      <c r="N280" s="679"/>
      <c r="O280" s="679"/>
      <c r="P280" s="679"/>
      <c r="Q280" s="679" t="e">
        <f>SUM("$#ССЫЛ!$#ССЫЛ!:$#ССЫЛ!$#ССЫЛ!))))))))))))))))))))))")</f>
        <v>#VALUE!</v>
      </c>
      <c r="R280" s="679"/>
      <c r="S280" s="679"/>
      <c r="T280" s="679"/>
      <c r="U280" s="679"/>
      <c r="V280" s="101"/>
      <c r="W280" s="101"/>
      <c r="X280" s="101"/>
      <c r="Y280" s="101"/>
    </row>
    <row r="281" spans="1:17" ht="15.75">
      <c r="A281" s="102"/>
      <c r="B281" s="27" t="s">
        <v>619</v>
      </c>
      <c r="I281" s="71"/>
      <c r="Q281" s="103"/>
    </row>
    <row r="282" ht="15.75">
      <c r="Q282" s="648">
        <f>Q258+Q261</f>
        <v>7.5914</v>
      </c>
    </row>
    <row r="283" ht="15.75">
      <c r="Q283" s="648">
        <f>Q259+Q262+Q265+Q267</f>
        <v>2.8812</v>
      </c>
    </row>
    <row r="284" ht="15.75">
      <c r="Q284" s="648">
        <f>Q264</f>
        <v>0.083</v>
      </c>
    </row>
  </sheetData>
  <sheetProtection selectLockedCells="1" selectUnlockedCells="1"/>
  <mergeCells count="16">
    <mergeCell ref="AD3:AH3"/>
    <mergeCell ref="AI3:AI4"/>
    <mergeCell ref="A1:AI1"/>
    <mergeCell ref="A2:A3"/>
    <mergeCell ref="B2:B3"/>
    <mergeCell ref="C2:P2"/>
    <mergeCell ref="Q2:U3"/>
    <mergeCell ref="V2:AI2"/>
    <mergeCell ref="C3:F3"/>
    <mergeCell ref="G3:J3"/>
    <mergeCell ref="A274:B274"/>
    <mergeCell ref="B280:U280"/>
    <mergeCell ref="V3:Y3"/>
    <mergeCell ref="Z3:AC3"/>
    <mergeCell ref="K3:O3"/>
    <mergeCell ref="P3:P4"/>
  </mergeCells>
  <printOptions/>
  <pageMargins left="0.7875" right="0.39375" top="0.20069444444444445" bottom="0.20069444444444445" header="0.5118055555555555" footer="0.5118055555555555"/>
  <pageSetup fitToHeight="0" fitToWidth="1" horizontalDpi="300" verticalDpi="300" orientation="landscape" pageOrder="overThenDown" paperSize="9" scale="3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"/>
  <sheetViews>
    <sheetView zoomScale="75" zoomScaleNormal="75" zoomScaleSheetLayoutView="80" zoomScalePageLayoutView="0" workbookViewId="0" topLeftCell="A1">
      <selection activeCell="D28" sqref="D28"/>
    </sheetView>
  </sheetViews>
  <sheetFormatPr defaultColWidth="10.796875" defaultRowHeight="15"/>
  <cols>
    <col min="1" max="1" width="10.69921875" style="1" customWidth="1"/>
    <col min="2" max="2" width="6" style="1" customWidth="1"/>
    <col min="3" max="3" width="33.5" style="1" customWidth="1"/>
    <col min="4" max="7" width="17.19921875" style="1" customWidth="1"/>
    <col min="8" max="16384" width="10.69921875" style="1" customWidth="1"/>
  </cols>
  <sheetData>
    <row r="1" spans="2:7" ht="22.5" customHeight="1">
      <c r="B1" s="661" t="s">
        <v>205</v>
      </c>
      <c r="C1" s="661"/>
      <c r="D1" s="661"/>
      <c r="E1" s="661"/>
      <c r="F1" s="661"/>
      <c r="G1" s="661"/>
    </row>
    <row r="2" spans="2:8" ht="18.75">
      <c r="B2" s="104"/>
      <c r="C2" s="104"/>
      <c r="D2" s="104"/>
      <c r="E2" s="104"/>
      <c r="F2" s="104"/>
      <c r="G2" s="104"/>
      <c r="H2" s="28" t="s">
        <v>256</v>
      </c>
    </row>
    <row r="3" spans="2:8" ht="18.75">
      <c r="B3" s="104"/>
      <c r="C3" s="104"/>
      <c r="D3" s="104"/>
      <c r="E3" s="104"/>
      <c r="F3" s="104"/>
      <c r="G3" s="104"/>
      <c r="H3" s="28" t="s">
        <v>32</v>
      </c>
    </row>
    <row r="4" spans="2:8" ht="18.75">
      <c r="B4" s="104"/>
      <c r="C4" s="104"/>
      <c r="D4" s="104"/>
      <c r="E4" s="104"/>
      <c r="F4" s="104"/>
      <c r="G4" s="104"/>
      <c r="H4" s="28" t="s">
        <v>970</v>
      </c>
    </row>
    <row r="5" spans="2:8" ht="18.75">
      <c r="B5" s="104"/>
      <c r="C5" s="104"/>
      <c r="D5" s="104"/>
      <c r="E5" s="104"/>
      <c r="F5" s="104"/>
      <c r="G5" s="104"/>
      <c r="H5" s="28" t="s">
        <v>258</v>
      </c>
    </row>
    <row r="6" spans="2:8" ht="37.5">
      <c r="B6" s="104"/>
      <c r="C6" s="104"/>
      <c r="D6" s="104"/>
      <c r="E6" s="104"/>
      <c r="F6" s="104"/>
      <c r="G6" s="104"/>
      <c r="H6" s="29" t="s">
        <v>259</v>
      </c>
    </row>
    <row r="7" spans="2:8" ht="18.75">
      <c r="B7" s="104"/>
      <c r="C7" s="104"/>
      <c r="D7" s="104"/>
      <c r="E7" s="104"/>
      <c r="F7" s="104"/>
      <c r="G7" s="104"/>
      <c r="H7" s="28" t="s">
        <v>260</v>
      </c>
    </row>
    <row r="8" spans="2:8" ht="18.75">
      <c r="B8" s="104"/>
      <c r="C8" s="104"/>
      <c r="D8" s="104"/>
      <c r="E8" s="104"/>
      <c r="F8" s="104"/>
      <c r="G8" s="104"/>
      <c r="H8" s="28" t="s">
        <v>261</v>
      </c>
    </row>
    <row r="9" spans="2:7" ht="15.75">
      <c r="B9" s="104"/>
      <c r="C9" s="104"/>
      <c r="D9" s="104"/>
      <c r="E9" s="104"/>
      <c r="F9" s="104"/>
      <c r="G9" s="104"/>
    </row>
    <row r="10" spans="2:7" ht="15.75">
      <c r="B10" s="104"/>
      <c r="C10" s="104"/>
      <c r="D10" s="104"/>
      <c r="E10" s="104"/>
      <c r="F10" s="104"/>
      <c r="G10" s="104"/>
    </row>
    <row r="11" spans="2:7" ht="15.75">
      <c r="B11" s="27"/>
      <c r="C11" s="27"/>
      <c r="D11" s="27"/>
      <c r="E11" s="27"/>
      <c r="F11" s="27"/>
      <c r="G11" s="27"/>
    </row>
    <row r="12" spans="2:7" ht="15.75">
      <c r="B12" s="27" t="s">
        <v>620</v>
      </c>
      <c r="C12" s="27"/>
      <c r="D12" s="27"/>
      <c r="E12" s="27"/>
      <c r="F12" s="27"/>
      <c r="G12" s="27"/>
    </row>
    <row r="13" spans="2:7" ht="15.75">
      <c r="B13" s="27"/>
      <c r="C13" s="27"/>
      <c r="D13" s="27"/>
      <c r="E13" s="27"/>
      <c r="F13" s="27"/>
      <c r="G13" s="27"/>
    </row>
    <row r="14" spans="2:7" ht="20.25" customHeight="1">
      <c r="B14" s="662" t="s">
        <v>621</v>
      </c>
      <c r="C14" s="663" t="s">
        <v>622</v>
      </c>
      <c r="D14" s="662" t="s">
        <v>271</v>
      </c>
      <c r="E14" s="662"/>
      <c r="F14" s="662" t="s">
        <v>623</v>
      </c>
      <c r="G14" s="662"/>
    </row>
    <row r="15" spans="2:7" ht="20.25" customHeight="1">
      <c r="B15" s="662"/>
      <c r="C15" s="663"/>
      <c r="D15" s="664" t="s">
        <v>624</v>
      </c>
      <c r="E15" s="664"/>
      <c r="F15" s="664" t="s">
        <v>624</v>
      </c>
      <c r="G15" s="664"/>
    </row>
    <row r="16" spans="2:7" ht="15.75">
      <c r="B16" s="662"/>
      <c r="C16" s="663"/>
      <c r="D16" s="664">
        <v>2013</v>
      </c>
      <c r="E16" s="664"/>
      <c r="F16" s="664">
        <v>2013</v>
      </c>
      <c r="G16" s="664"/>
    </row>
    <row r="17" spans="2:7" ht="15.75">
      <c r="B17" s="105">
        <v>1</v>
      </c>
      <c r="C17" s="106">
        <v>2</v>
      </c>
      <c r="D17" s="668">
        <v>3</v>
      </c>
      <c r="E17" s="668"/>
      <c r="F17" s="668">
        <v>4</v>
      </c>
      <c r="G17" s="668"/>
    </row>
    <row r="18" spans="2:7" ht="37.5">
      <c r="B18" s="107">
        <v>1</v>
      </c>
      <c r="C18" s="108" t="s">
        <v>289</v>
      </c>
      <c r="D18" s="669">
        <v>3.73</v>
      </c>
      <c r="E18" s="669"/>
      <c r="F18" s="669">
        <v>3.728</v>
      </c>
      <c r="G18" s="669"/>
    </row>
    <row r="19" spans="2:7" ht="37.5">
      <c r="B19" s="109">
        <v>2</v>
      </c>
      <c r="C19" s="108" t="s">
        <v>625</v>
      </c>
      <c r="D19" s="666">
        <v>37.854</v>
      </c>
      <c r="E19" s="666"/>
      <c r="F19" s="666">
        <v>37.854</v>
      </c>
      <c r="G19" s="666"/>
    </row>
    <row r="20" spans="2:7" ht="75">
      <c r="B20" s="109">
        <v>3</v>
      </c>
      <c r="C20" s="108" t="s">
        <v>626</v>
      </c>
      <c r="D20" s="666">
        <v>6.4</v>
      </c>
      <c r="E20" s="666"/>
      <c r="F20" s="666">
        <v>5.19</v>
      </c>
      <c r="G20" s="666"/>
    </row>
    <row r="21" spans="2:7" ht="77.25" customHeight="1">
      <c r="B21" s="655">
        <v>4</v>
      </c>
      <c r="C21" s="656" t="s">
        <v>22</v>
      </c>
      <c r="D21" s="657"/>
      <c r="E21" s="658"/>
      <c r="F21" s="657"/>
      <c r="G21" s="658"/>
    </row>
    <row r="22" spans="2:7" ht="42" customHeight="1">
      <c r="B22" s="655" t="s">
        <v>219</v>
      </c>
      <c r="C22" s="654" t="s">
        <v>35</v>
      </c>
      <c r="D22" s="665">
        <v>3.26</v>
      </c>
      <c r="E22" s="665"/>
      <c r="F22" s="665"/>
      <c r="G22" s="665"/>
    </row>
    <row r="23" spans="2:7" ht="42" customHeight="1" thickBot="1">
      <c r="B23" s="110" t="s">
        <v>221</v>
      </c>
      <c r="C23" s="653" t="s">
        <v>36</v>
      </c>
      <c r="D23" s="667">
        <v>2.802</v>
      </c>
      <c r="E23" s="667"/>
      <c r="F23" s="667"/>
      <c r="G23" s="667"/>
    </row>
  </sheetData>
  <sheetProtection selectLockedCells="1" selectUnlockedCells="1"/>
  <mergeCells count="21">
    <mergeCell ref="D17:E17"/>
    <mergeCell ref="F17:G17"/>
    <mergeCell ref="D18:E18"/>
    <mergeCell ref="D19:E19"/>
    <mergeCell ref="F18:G18"/>
    <mergeCell ref="F19:G19"/>
    <mergeCell ref="D22:E22"/>
    <mergeCell ref="D20:E20"/>
    <mergeCell ref="D23:E23"/>
    <mergeCell ref="F23:G23"/>
    <mergeCell ref="F20:G20"/>
    <mergeCell ref="F22:G22"/>
    <mergeCell ref="B1:G1"/>
    <mergeCell ref="B14:B16"/>
    <mergeCell ref="C14:C16"/>
    <mergeCell ref="D14:E14"/>
    <mergeCell ref="F14:G14"/>
    <mergeCell ref="D15:E15"/>
    <mergeCell ref="D16:E16"/>
    <mergeCell ref="F15:G15"/>
    <mergeCell ref="F16:G16"/>
  </mergeCells>
  <printOptions/>
  <pageMargins left="0.7875" right="0.39652777777777776" top="0.2222222222222222" bottom="0.5375" header="0.5118055555555555" footer="0.5118055555555555"/>
  <pageSetup fitToHeight="1" fitToWidth="1" horizontalDpi="300" verticalDpi="3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zoomScale="75" zoomScaleNormal="75" zoomScaleSheetLayoutView="80" zoomScalePageLayoutView="0" workbookViewId="0" topLeftCell="A1">
      <selection activeCell="I11" sqref="I11"/>
    </sheetView>
  </sheetViews>
  <sheetFormatPr defaultColWidth="8.796875" defaultRowHeight="15"/>
  <cols>
    <col min="2" max="2" width="37.19921875" style="1" customWidth="1"/>
    <col min="3" max="3" width="13.3984375" style="1" customWidth="1"/>
    <col min="4" max="4" width="9.19921875" style="1" customWidth="1"/>
    <col min="5" max="5" width="12" style="111" customWidth="1"/>
    <col min="6" max="6" width="6.09765625" style="1" customWidth="1"/>
    <col min="7" max="7" width="12" style="111" customWidth="1"/>
    <col min="8" max="8" width="6.09765625" style="1" customWidth="1"/>
    <col min="9" max="9" width="12" style="111" customWidth="1"/>
    <col min="10" max="10" width="6.09765625" style="1" customWidth="1"/>
    <col min="11" max="11" width="12" style="111" customWidth="1"/>
    <col min="12" max="12" width="6.09765625" style="1" customWidth="1"/>
    <col min="13" max="13" width="12" style="111" customWidth="1"/>
    <col min="14" max="14" width="14" style="1" customWidth="1"/>
    <col min="15" max="15" width="12.19921875" style="1" customWidth="1"/>
    <col min="16" max="16" width="6.19921875" style="1" customWidth="1"/>
    <col min="17" max="18" width="14.3984375" style="1" customWidth="1"/>
    <col min="19" max="20" width="9.3984375" style="1" customWidth="1"/>
    <col min="21" max="21" width="18.8984375" style="1" customWidth="1"/>
  </cols>
  <sheetData>
    <row r="1" ht="15.75">
      <c r="U1" s="112"/>
    </row>
    <row r="2" ht="15.75">
      <c r="U2" s="112" t="s">
        <v>628</v>
      </c>
    </row>
    <row r="3" ht="15.75">
      <c r="U3" s="112" t="s">
        <v>629</v>
      </c>
    </row>
    <row r="4" ht="15.75">
      <c r="U4" s="112" t="s">
        <v>630</v>
      </c>
    </row>
    <row r="5" ht="15.75">
      <c r="U5" s="112"/>
    </row>
    <row r="6" ht="15.75">
      <c r="A6" s="113"/>
    </row>
    <row r="7" spans="1:21" ht="15.75">
      <c r="A7" s="670" t="s">
        <v>207</v>
      </c>
      <c r="B7" s="670"/>
      <c r="C7" s="670"/>
      <c r="D7" s="670"/>
      <c r="E7" s="670"/>
      <c r="F7" s="670"/>
      <c r="G7" s="670"/>
      <c r="H7" s="670"/>
      <c r="I7" s="670"/>
      <c r="J7" s="670"/>
      <c r="K7" s="670"/>
      <c r="L7" s="670"/>
      <c r="M7" s="670"/>
      <c r="N7" s="670"/>
      <c r="O7" s="670"/>
      <c r="P7" s="670"/>
      <c r="Q7" s="670"/>
      <c r="R7" s="670"/>
      <c r="S7" s="670"/>
      <c r="T7" s="670"/>
      <c r="U7" s="670"/>
    </row>
    <row r="8" spans="1:21" ht="15.7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</row>
    <row r="9" ht="15.75">
      <c r="U9" s="112" t="s">
        <v>256</v>
      </c>
    </row>
    <row r="10" ht="15.75">
      <c r="U10" s="112" t="s">
        <v>631</v>
      </c>
    </row>
    <row r="11" ht="15.75">
      <c r="U11" s="112"/>
    </row>
    <row r="12" ht="15.75">
      <c r="U12" s="115" t="s">
        <v>259</v>
      </c>
    </row>
    <row r="13" spans="1:21" ht="15.75">
      <c r="A13" s="113"/>
      <c r="U13" s="112" t="s">
        <v>260</v>
      </c>
    </row>
    <row r="14" spans="1:21" ht="15.75">
      <c r="A14" s="113"/>
      <c r="U14" s="112" t="s">
        <v>261</v>
      </c>
    </row>
    <row r="16" spans="1:21" ht="126" customHeight="1">
      <c r="A16" s="671" t="s">
        <v>262</v>
      </c>
      <c r="B16" s="672" t="s">
        <v>263</v>
      </c>
      <c r="C16" s="672" t="s">
        <v>632</v>
      </c>
      <c r="D16" s="673" t="s">
        <v>633</v>
      </c>
      <c r="E16" s="673"/>
      <c r="F16" s="673"/>
      <c r="G16" s="673"/>
      <c r="H16" s="673"/>
      <c r="I16" s="673"/>
      <c r="J16" s="673"/>
      <c r="K16" s="673"/>
      <c r="L16" s="673"/>
      <c r="M16" s="673"/>
      <c r="N16" s="672" t="s">
        <v>634</v>
      </c>
      <c r="O16" s="673" t="s">
        <v>635</v>
      </c>
      <c r="P16" s="673"/>
      <c r="Q16" s="673"/>
      <c r="R16" s="673"/>
      <c r="S16" s="673" t="s">
        <v>636</v>
      </c>
      <c r="T16" s="673"/>
      <c r="U16" s="684" t="s">
        <v>637</v>
      </c>
    </row>
    <row r="17" spans="1:21" ht="31.5" customHeight="1">
      <c r="A17" s="671"/>
      <c r="B17" s="672"/>
      <c r="C17" s="672"/>
      <c r="D17" s="685" t="s">
        <v>638</v>
      </c>
      <c r="E17" s="685"/>
      <c r="F17" s="685" t="s">
        <v>639</v>
      </c>
      <c r="G17" s="685"/>
      <c r="H17" s="685" t="s">
        <v>640</v>
      </c>
      <c r="I17" s="685"/>
      <c r="J17" s="685" t="s">
        <v>641</v>
      </c>
      <c r="K17" s="685"/>
      <c r="L17" s="685" t="s">
        <v>642</v>
      </c>
      <c r="M17" s="685"/>
      <c r="N17" s="672"/>
      <c r="O17" s="686" t="s">
        <v>278</v>
      </c>
      <c r="P17" s="686" t="s">
        <v>643</v>
      </c>
      <c r="Q17" s="685" t="s">
        <v>644</v>
      </c>
      <c r="R17" s="685"/>
      <c r="S17" s="685" t="s">
        <v>624</v>
      </c>
      <c r="T17" s="685"/>
      <c r="U17" s="684"/>
    </row>
    <row r="18" spans="1:21" ht="81.75" customHeight="1">
      <c r="A18" s="671"/>
      <c r="B18" s="672"/>
      <c r="C18" s="672"/>
      <c r="D18" s="118" t="s">
        <v>645</v>
      </c>
      <c r="E18" s="118" t="s">
        <v>646</v>
      </c>
      <c r="F18" s="118" t="s">
        <v>647</v>
      </c>
      <c r="G18" s="118" t="s">
        <v>648</v>
      </c>
      <c r="H18" s="118" t="s">
        <v>647</v>
      </c>
      <c r="I18" s="118" t="s">
        <v>648</v>
      </c>
      <c r="J18" s="118" t="s">
        <v>647</v>
      </c>
      <c r="K18" s="118" t="s">
        <v>648</v>
      </c>
      <c r="L18" s="118" t="s">
        <v>647</v>
      </c>
      <c r="M18" s="118" t="s">
        <v>648</v>
      </c>
      <c r="N18" s="672"/>
      <c r="O18" s="686"/>
      <c r="P18" s="686"/>
      <c r="Q18" s="118" t="s">
        <v>649</v>
      </c>
      <c r="R18" s="118" t="s">
        <v>650</v>
      </c>
      <c r="S18" s="119" t="s">
        <v>651</v>
      </c>
      <c r="T18" s="119" t="s">
        <v>652</v>
      </c>
      <c r="U18" s="684"/>
    </row>
    <row r="19" spans="1:21" ht="15.75">
      <c r="A19" s="120"/>
      <c r="B19" s="121" t="s">
        <v>279</v>
      </c>
      <c r="C19" s="121"/>
      <c r="D19" s="121"/>
      <c r="E19" s="122"/>
      <c r="F19" s="121"/>
      <c r="G19" s="121"/>
      <c r="H19" s="122"/>
      <c r="I19" s="122"/>
      <c r="J19" s="121"/>
      <c r="K19" s="121"/>
      <c r="L19" s="122"/>
      <c r="M19" s="122"/>
      <c r="N19" s="122"/>
      <c r="O19" s="122"/>
      <c r="P19" s="122"/>
      <c r="Q19" s="122"/>
      <c r="R19" s="122"/>
      <c r="S19" s="123"/>
      <c r="T19" s="123"/>
      <c r="U19" s="124"/>
    </row>
    <row r="20" spans="1:21" ht="31.5">
      <c r="A20" s="125" t="s">
        <v>653</v>
      </c>
      <c r="B20" s="30" t="s">
        <v>280</v>
      </c>
      <c r="C20" s="30"/>
      <c r="D20" s="30"/>
      <c r="E20" s="30"/>
      <c r="F20" s="30"/>
      <c r="G20" s="30"/>
      <c r="H20" s="30"/>
      <c r="I20" s="30"/>
      <c r="J20" s="30"/>
      <c r="K20" s="30"/>
      <c r="L20" s="33"/>
      <c r="M20" s="33"/>
      <c r="N20" s="33"/>
      <c r="O20" s="33"/>
      <c r="P20" s="33"/>
      <c r="Q20" s="33"/>
      <c r="R20" s="33"/>
      <c r="S20" s="126"/>
      <c r="T20" s="126"/>
      <c r="U20" s="127"/>
    </row>
    <row r="21" spans="1:21" ht="31.5">
      <c r="A21" s="128" t="s">
        <v>199</v>
      </c>
      <c r="B21" s="30" t="s">
        <v>281</v>
      </c>
      <c r="C21" s="30"/>
      <c r="D21" s="30"/>
      <c r="E21" s="30"/>
      <c r="F21" s="30"/>
      <c r="G21" s="30"/>
      <c r="H21" s="30"/>
      <c r="I21" s="30"/>
      <c r="J21" s="30"/>
      <c r="K21" s="30"/>
      <c r="L21" s="33"/>
      <c r="M21" s="33"/>
      <c r="N21" s="33"/>
      <c r="O21" s="33"/>
      <c r="P21" s="33"/>
      <c r="Q21" s="33"/>
      <c r="R21" s="33"/>
      <c r="S21" s="126"/>
      <c r="T21" s="126"/>
      <c r="U21" s="127"/>
    </row>
    <row r="22" spans="1:21" ht="15.75">
      <c r="A22" s="129">
        <v>1</v>
      </c>
      <c r="B22" s="39" t="s">
        <v>615</v>
      </c>
      <c r="C22" s="39"/>
      <c r="D22" s="39"/>
      <c r="E22" s="33"/>
      <c r="F22" s="39"/>
      <c r="G22" s="33"/>
      <c r="H22" s="39"/>
      <c r="I22" s="33"/>
      <c r="J22" s="39"/>
      <c r="K22" s="33"/>
      <c r="L22" s="33"/>
      <c r="M22" s="33"/>
      <c r="N22" s="33"/>
      <c r="O22" s="33"/>
      <c r="P22" s="33"/>
      <c r="Q22" s="33"/>
      <c r="R22" s="33"/>
      <c r="S22" s="126"/>
      <c r="T22" s="126"/>
      <c r="U22" s="127"/>
    </row>
    <row r="23" spans="1:21" ht="15.75">
      <c r="A23" s="129">
        <v>2</v>
      </c>
      <c r="B23" s="39" t="s">
        <v>616</v>
      </c>
      <c r="C23" s="39"/>
      <c r="D23" s="39"/>
      <c r="E23" s="33"/>
      <c r="F23" s="39"/>
      <c r="G23" s="33"/>
      <c r="H23" s="39"/>
      <c r="I23" s="33"/>
      <c r="J23" s="39"/>
      <c r="K23" s="33"/>
      <c r="L23" s="33"/>
      <c r="M23" s="33"/>
      <c r="N23" s="33"/>
      <c r="O23" s="33"/>
      <c r="P23" s="33"/>
      <c r="Q23" s="33"/>
      <c r="R23" s="33"/>
      <c r="S23" s="126"/>
      <c r="T23" s="126"/>
      <c r="U23" s="127"/>
    </row>
    <row r="24" spans="1:21" ht="15.75">
      <c r="A24" s="130" t="s">
        <v>617</v>
      </c>
      <c r="B24" s="131"/>
      <c r="C24" s="131"/>
      <c r="D24" s="131"/>
      <c r="E24" s="132"/>
      <c r="F24" s="131"/>
      <c r="G24" s="132"/>
      <c r="H24" s="131"/>
      <c r="I24" s="132"/>
      <c r="J24" s="131"/>
      <c r="K24" s="132"/>
      <c r="L24" s="132"/>
      <c r="M24" s="132"/>
      <c r="N24" s="132"/>
      <c r="O24" s="132"/>
      <c r="P24" s="132"/>
      <c r="Q24" s="132"/>
      <c r="R24" s="132"/>
      <c r="S24" s="133"/>
      <c r="T24" s="133"/>
      <c r="U24" s="134"/>
    </row>
    <row r="25" spans="1:21" ht="31.5">
      <c r="A25" s="135" t="s">
        <v>201</v>
      </c>
      <c r="B25" s="136" t="s">
        <v>294</v>
      </c>
      <c r="C25" s="136"/>
      <c r="D25" s="131"/>
      <c r="E25" s="132"/>
      <c r="F25" s="131"/>
      <c r="G25" s="132"/>
      <c r="H25" s="131"/>
      <c r="I25" s="132"/>
      <c r="J25" s="131"/>
      <c r="K25" s="132"/>
      <c r="L25" s="132"/>
      <c r="M25" s="132"/>
      <c r="N25" s="132"/>
      <c r="O25" s="132"/>
      <c r="P25" s="132"/>
      <c r="Q25" s="132"/>
      <c r="R25" s="132"/>
      <c r="S25" s="133"/>
      <c r="T25" s="133"/>
      <c r="U25" s="134"/>
    </row>
    <row r="26" spans="1:21" ht="15.75">
      <c r="A26" s="129">
        <v>1</v>
      </c>
      <c r="B26" s="39" t="s">
        <v>615</v>
      </c>
      <c r="C26" s="131"/>
      <c r="D26" s="131"/>
      <c r="E26" s="132"/>
      <c r="F26" s="131"/>
      <c r="G26" s="132"/>
      <c r="H26" s="131"/>
      <c r="I26" s="132"/>
      <c r="J26" s="131"/>
      <c r="K26" s="132"/>
      <c r="L26" s="132"/>
      <c r="M26" s="132"/>
      <c r="N26" s="132"/>
      <c r="O26" s="132"/>
      <c r="P26" s="132"/>
      <c r="Q26" s="132"/>
      <c r="R26" s="132"/>
      <c r="S26" s="133"/>
      <c r="T26" s="133"/>
      <c r="U26" s="134"/>
    </row>
    <row r="27" spans="1:21" ht="15.75">
      <c r="A27" s="129">
        <v>2</v>
      </c>
      <c r="B27" s="39" t="s">
        <v>616</v>
      </c>
      <c r="C27" s="131"/>
      <c r="D27" s="131"/>
      <c r="E27" s="132"/>
      <c r="F27" s="131"/>
      <c r="G27" s="132"/>
      <c r="H27" s="131"/>
      <c r="I27" s="132"/>
      <c r="J27" s="131"/>
      <c r="K27" s="132"/>
      <c r="L27" s="132"/>
      <c r="M27" s="132"/>
      <c r="N27" s="132"/>
      <c r="O27" s="132"/>
      <c r="P27" s="132"/>
      <c r="Q27" s="132"/>
      <c r="R27" s="132"/>
      <c r="S27" s="133"/>
      <c r="T27" s="133"/>
      <c r="U27" s="134"/>
    </row>
    <row r="28" spans="1:21" ht="15.75">
      <c r="A28" s="130" t="s">
        <v>617</v>
      </c>
      <c r="B28" s="131"/>
      <c r="C28" s="131"/>
      <c r="D28" s="131"/>
      <c r="E28" s="132"/>
      <c r="F28" s="131"/>
      <c r="G28" s="132"/>
      <c r="H28" s="131"/>
      <c r="I28" s="132"/>
      <c r="J28" s="131"/>
      <c r="K28" s="132"/>
      <c r="L28" s="132"/>
      <c r="M28" s="132"/>
      <c r="N28" s="132"/>
      <c r="O28" s="132"/>
      <c r="P28" s="132"/>
      <c r="Q28" s="132"/>
      <c r="R28" s="132"/>
      <c r="S28" s="133"/>
      <c r="T28" s="133"/>
      <c r="U28" s="134"/>
    </row>
    <row r="29" spans="1:21" ht="31.5">
      <c r="A29" s="135" t="s">
        <v>204</v>
      </c>
      <c r="B29" s="136" t="s">
        <v>299</v>
      </c>
      <c r="C29" s="136"/>
      <c r="D29" s="131"/>
      <c r="E29" s="132"/>
      <c r="F29" s="131"/>
      <c r="G29" s="132"/>
      <c r="H29" s="131"/>
      <c r="I29" s="132"/>
      <c r="J29" s="131"/>
      <c r="K29" s="132"/>
      <c r="L29" s="132"/>
      <c r="M29" s="132"/>
      <c r="N29" s="132"/>
      <c r="O29" s="132"/>
      <c r="P29" s="132"/>
      <c r="Q29" s="132"/>
      <c r="R29" s="132"/>
      <c r="S29" s="133"/>
      <c r="T29" s="133"/>
      <c r="U29" s="134"/>
    </row>
    <row r="30" spans="1:21" ht="15.75">
      <c r="A30" s="130">
        <v>1</v>
      </c>
      <c r="B30" s="131" t="s">
        <v>615</v>
      </c>
      <c r="C30" s="131"/>
      <c r="D30" s="131"/>
      <c r="E30" s="132"/>
      <c r="F30" s="131"/>
      <c r="G30" s="132"/>
      <c r="H30" s="131"/>
      <c r="I30" s="132"/>
      <c r="J30" s="131"/>
      <c r="K30" s="132"/>
      <c r="L30" s="132"/>
      <c r="M30" s="132"/>
      <c r="N30" s="132"/>
      <c r="O30" s="132"/>
      <c r="P30" s="132"/>
      <c r="Q30" s="132"/>
      <c r="R30" s="132"/>
      <c r="S30" s="133"/>
      <c r="T30" s="133"/>
      <c r="U30" s="134"/>
    </row>
    <row r="31" spans="1:21" ht="15.75">
      <c r="A31" s="130">
        <v>2</v>
      </c>
      <c r="B31" s="131" t="s">
        <v>616</v>
      </c>
      <c r="C31" s="131"/>
      <c r="D31" s="131"/>
      <c r="E31" s="132"/>
      <c r="F31" s="131"/>
      <c r="G31" s="132"/>
      <c r="H31" s="131"/>
      <c r="I31" s="132"/>
      <c r="J31" s="131"/>
      <c r="K31" s="132"/>
      <c r="L31" s="132"/>
      <c r="M31" s="132"/>
      <c r="N31" s="132"/>
      <c r="O31" s="132"/>
      <c r="P31" s="132"/>
      <c r="Q31" s="132"/>
      <c r="R31" s="132"/>
      <c r="S31" s="133"/>
      <c r="T31" s="133"/>
      <c r="U31" s="134"/>
    </row>
    <row r="32" spans="1:21" ht="15.75">
      <c r="A32" s="130" t="s">
        <v>617</v>
      </c>
      <c r="B32" s="131"/>
      <c r="C32" s="131"/>
      <c r="D32" s="131"/>
      <c r="E32" s="132"/>
      <c r="F32" s="131"/>
      <c r="G32" s="132"/>
      <c r="H32" s="131"/>
      <c r="I32" s="132"/>
      <c r="J32" s="131"/>
      <c r="K32" s="132"/>
      <c r="L32" s="132"/>
      <c r="M32" s="132"/>
      <c r="N32" s="132"/>
      <c r="O32" s="132"/>
      <c r="P32" s="132"/>
      <c r="Q32" s="132"/>
      <c r="R32" s="132"/>
      <c r="S32" s="133"/>
      <c r="T32" s="133"/>
      <c r="U32" s="134"/>
    </row>
    <row r="33" spans="1:21" ht="47.25">
      <c r="A33" s="135" t="s">
        <v>206</v>
      </c>
      <c r="B33" s="136" t="s">
        <v>307</v>
      </c>
      <c r="C33" s="131"/>
      <c r="D33" s="131"/>
      <c r="E33" s="132"/>
      <c r="F33" s="131"/>
      <c r="G33" s="132"/>
      <c r="H33" s="131"/>
      <c r="I33" s="132"/>
      <c r="J33" s="131"/>
      <c r="K33" s="132"/>
      <c r="L33" s="132"/>
      <c r="M33" s="132"/>
      <c r="N33" s="132"/>
      <c r="O33" s="132"/>
      <c r="P33" s="132"/>
      <c r="Q33" s="132"/>
      <c r="R33" s="132"/>
      <c r="S33" s="133"/>
      <c r="T33" s="133"/>
      <c r="U33" s="134"/>
    </row>
    <row r="34" spans="1:21" ht="15.75">
      <c r="A34" s="130">
        <v>1</v>
      </c>
      <c r="B34" s="131" t="s">
        <v>615</v>
      </c>
      <c r="C34" s="131"/>
      <c r="D34" s="131"/>
      <c r="E34" s="132"/>
      <c r="F34" s="131"/>
      <c r="G34" s="132"/>
      <c r="H34" s="131"/>
      <c r="I34" s="132"/>
      <c r="J34" s="131"/>
      <c r="K34" s="132"/>
      <c r="L34" s="132"/>
      <c r="M34" s="132"/>
      <c r="N34" s="132"/>
      <c r="O34" s="132"/>
      <c r="P34" s="132"/>
      <c r="Q34" s="132"/>
      <c r="R34" s="132"/>
      <c r="S34" s="133"/>
      <c r="T34" s="133"/>
      <c r="U34" s="134"/>
    </row>
    <row r="35" spans="1:21" ht="15.75">
      <c r="A35" s="130">
        <v>2</v>
      </c>
      <c r="B35" s="131" t="s">
        <v>616</v>
      </c>
      <c r="C35" s="131"/>
      <c r="D35" s="131"/>
      <c r="E35" s="132"/>
      <c r="F35" s="131"/>
      <c r="G35" s="132"/>
      <c r="H35" s="131"/>
      <c r="I35" s="132"/>
      <c r="J35" s="131"/>
      <c r="K35" s="132"/>
      <c r="L35" s="132"/>
      <c r="M35" s="132"/>
      <c r="N35" s="132"/>
      <c r="O35" s="132"/>
      <c r="P35" s="132"/>
      <c r="Q35" s="132"/>
      <c r="R35" s="132"/>
      <c r="S35" s="133"/>
      <c r="T35" s="133"/>
      <c r="U35" s="134"/>
    </row>
    <row r="36" spans="1:21" ht="15.75">
      <c r="A36" s="130" t="s">
        <v>617</v>
      </c>
      <c r="B36" s="131"/>
      <c r="C36" s="131"/>
      <c r="D36" s="131"/>
      <c r="E36" s="132"/>
      <c r="F36" s="131"/>
      <c r="G36" s="132"/>
      <c r="H36" s="131"/>
      <c r="I36" s="132"/>
      <c r="J36" s="131"/>
      <c r="K36" s="132"/>
      <c r="L36" s="132"/>
      <c r="M36" s="132"/>
      <c r="N36" s="132"/>
      <c r="O36" s="132"/>
      <c r="P36" s="132"/>
      <c r="Q36" s="132"/>
      <c r="R36" s="132"/>
      <c r="S36" s="133"/>
      <c r="T36" s="133"/>
      <c r="U36" s="134"/>
    </row>
    <row r="37" spans="1:21" ht="15.75">
      <c r="A37" s="125" t="s">
        <v>308</v>
      </c>
      <c r="B37" s="30" t="s">
        <v>309</v>
      </c>
      <c r="C37" s="30"/>
      <c r="D37" s="30"/>
      <c r="E37" s="30"/>
      <c r="F37" s="30"/>
      <c r="G37" s="30"/>
      <c r="H37" s="30"/>
      <c r="I37" s="30"/>
      <c r="J37" s="30"/>
      <c r="K37" s="30"/>
      <c r="L37" s="33"/>
      <c r="M37" s="33"/>
      <c r="N37" s="33"/>
      <c r="O37" s="33"/>
      <c r="P37" s="33"/>
      <c r="Q37" s="33"/>
      <c r="R37" s="33"/>
      <c r="S37" s="126"/>
      <c r="T37" s="126"/>
      <c r="U37" s="127"/>
    </row>
    <row r="38" spans="1:21" ht="31.5">
      <c r="A38" s="128" t="s">
        <v>209</v>
      </c>
      <c r="B38" s="30" t="s">
        <v>281</v>
      </c>
      <c r="C38" s="30"/>
      <c r="D38" s="30"/>
      <c r="E38" s="30"/>
      <c r="F38" s="30"/>
      <c r="G38" s="30"/>
      <c r="H38" s="30"/>
      <c r="I38" s="30"/>
      <c r="J38" s="30"/>
      <c r="K38" s="30"/>
      <c r="L38" s="33"/>
      <c r="M38" s="33"/>
      <c r="N38" s="33"/>
      <c r="O38" s="33"/>
      <c r="P38" s="33"/>
      <c r="Q38" s="33"/>
      <c r="R38" s="33"/>
      <c r="S38" s="126"/>
      <c r="T38" s="126"/>
      <c r="U38" s="127"/>
    </row>
    <row r="39" spans="1:21" ht="15.75">
      <c r="A39" s="129">
        <v>1</v>
      </c>
      <c r="B39" s="39" t="s">
        <v>615</v>
      </c>
      <c r="C39" s="30"/>
      <c r="D39" s="30"/>
      <c r="E39" s="30"/>
      <c r="F39" s="30"/>
      <c r="G39" s="30"/>
      <c r="H39" s="30"/>
      <c r="I39" s="30"/>
      <c r="J39" s="30"/>
      <c r="K39" s="30"/>
      <c r="L39" s="33"/>
      <c r="M39" s="33"/>
      <c r="N39" s="33"/>
      <c r="O39" s="33"/>
      <c r="P39" s="33"/>
      <c r="Q39" s="33"/>
      <c r="R39" s="33"/>
      <c r="S39" s="126"/>
      <c r="T39" s="126"/>
      <c r="U39" s="127"/>
    </row>
    <row r="40" spans="1:21" ht="15.75">
      <c r="A40" s="129">
        <v>2</v>
      </c>
      <c r="B40" s="39" t="s">
        <v>616</v>
      </c>
      <c r="C40" s="30"/>
      <c r="D40" s="30"/>
      <c r="E40" s="30"/>
      <c r="F40" s="30"/>
      <c r="G40" s="30"/>
      <c r="H40" s="30"/>
      <c r="I40" s="30"/>
      <c r="J40" s="30"/>
      <c r="K40" s="30"/>
      <c r="L40" s="33"/>
      <c r="M40" s="33"/>
      <c r="N40" s="33"/>
      <c r="O40" s="33"/>
      <c r="P40" s="33"/>
      <c r="Q40" s="33"/>
      <c r="R40" s="33"/>
      <c r="S40" s="126"/>
      <c r="T40" s="126"/>
      <c r="U40" s="127"/>
    </row>
    <row r="41" spans="1:21" ht="15.75">
      <c r="A41" s="130" t="s">
        <v>617</v>
      </c>
      <c r="B41" s="131"/>
      <c r="C41" s="30"/>
      <c r="D41" s="30"/>
      <c r="E41" s="30"/>
      <c r="F41" s="30"/>
      <c r="G41" s="30"/>
      <c r="H41" s="30"/>
      <c r="I41" s="30"/>
      <c r="J41" s="30"/>
      <c r="K41" s="30"/>
      <c r="L41" s="33"/>
      <c r="M41" s="33"/>
      <c r="N41" s="33"/>
      <c r="O41" s="33"/>
      <c r="P41" s="33"/>
      <c r="Q41" s="33"/>
      <c r="R41" s="33"/>
      <c r="S41" s="126"/>
      <c r="T41" s="126"/>
      <c r="U41" s="127"/>
    </row>
    <row r="42" spans="1:21" ht="15.75">
      <c r="A42" s="137" t="s">
        <v>211</v>
      </c>
      <c r="B42" s="138" t="s">
        <v>312</v>
      </c>
      <c r="C42" s="30"/>
      <c r="D42" s="30"/>
      <c r="E42" s="30"/>
      <c r="F42" s="30"/>
      <c r="G42" s="30"/>
      <c r="H42" s="30"/>
      <c r="I42" s="30"/>
      <c r="J42" s="30"/>
      <c r="K42" s="30"/>
      <c r="L42" s="33"/>
      <c r="M42" s="33"/>
      <c r="N42" s="33"/>
      <c r="O42" s="33"/>
      <c r="P42" s="33"/>
      <c r="Q42" s="33"/>
      <c r="R42" s="33"/>
      <c r="S42" s="126"/>
      <c r="T42" s="126"/>
      <c r="U42" s="127"/>
    </row>
    <row r="43" spans="1:21" ht="15.75">
      <c r="A43" s="129">
        <v>1</v>
      </c>
      <c r="B43" s="39" t="s">
        <v>615</v>
      </c>
      <c r="C43" s="30"/>
      <c r="D43" s="30"/>
      <c r="E43" s="30"/>
      <c r="F43" s="30"/>
      <c r="G43" s="30"/>
      <c r="H43" s="30"/>
      <c r="I43" s="30"/>
      <c r="J43" s="30"/>
      <c r="K43" s="30"/>
      <c r="L43" s="33"/>
      <c r="M43" s="33"/>
      <c r="N43" s="33"/>
      <c r="O43" s="33"/>
      <c r="P43" s="33"/>
      <c r="Q43" s="33"/>
      <c r="R43" s="33"/>
      <c r="S43" s="126"/>
      <c r="T43" s="126"/>
      <c r="U43" s="127"/>
    </row>
    <row r="44" spans="1:21" ht="15.75">
      <c r="A44" s="129"/>
      <c r="B44" s="39" t="s">
        <v>654</v>
      </c>
      <c r="C44" s="30"/>
      <c r="D44" s="30"/>
      <c r="E44" s="30"/>
      <c r="F44" s="30"/>
      <c r="G44" s="30"/>
      <c r="H44" s="30"/>
      <c r="I44" s="30"/>
      <c r="J44" s="30"/>
      <c r="K44" s="30"/>
      <c r="L44" s="33"/>
      <c r="M44" s="33"/>
      <c r="N44" s="33"/>
      <c r="O44" s="33"/>
      <c r="P44" s="33"/>
      <c r="Q44" s="33"/>
      <c r="R44" s="33"/>
      <c r="S44" s="126"/>
      <c r="T44" s="126"/>
      <c r="U44" s="127"/>
    </row>
    <row r="45" spans="1:21" ht="15.75">
      <c r="A45" s="129">
        <v>2</v>
      </c>
      <c r="B45" s="39" t="s">
        <v>616</v>
      </c>
      <c r="C45" s="30"/>
      <c r="D45" s="30"/>
      <c r="E45" s="30"/>
      <c r="F45" s="30"/>
      <c r="G45" s="30"/>
      <c r="H45" s="30"/>
      <c r="I45" s="30"/>
      <c r="J45" s="30"/>
      <c r="K45" s="30"/>
      <c r="L45" s="33"/>
      <c r="M45" s="33"/>
      <c r="N45" s="33"/>
      <c r="O45" s="33"/>
      <c r="P45" s="33"/>
      <c r="Q45" s="33"/>
      <c r="R45" s="33"/>
      <c r="S45" s="126"/>
      <c r="T45" s="126"/>
      <c r="U45" s="127"/>
    </row>
    <row r="46" spans="1:21" ht="15.75">
      <c r="A46" s="129"/>
      <c r="B46" s="39" t="s">
        <v>654</v>
      </c>
      <c r="C46" s="39"/>
      <c r="D46" s="39"/>
      <c r="E46" s="33"/>
      <c r="F46" s="39"/>
      <c r="G46" s="33"/>
      <c r="H46" s="39"/>
      <c r="I46" s="33"/>
      <c r="J46" s="39"/>
      <c r="K46" s="33"/>
      <c r="L46" s="33"/>
      <c r="M46" s="33"/>
      <c r="N46" s="33"/>
      <c r="O46" s="33"/>
      <c r="P46" s="33"/>
      <c r="Q46" s="33"/>
      <c r="R46" s="33"/>
      <c r="S46" s="126"/>
      <c r="T46" s="126"/>
      <c r="U46" s="127"/>
    </row>
    <row r="47" spans="1:21" ht="15.75">
      <c r="A47" s="129" t="s">
        <v>617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126"/>
      <c r="T47" s="126"/>
      <c r="U47" s="127"/>
    </row>
    <row r="48" spans="1:21" ht="15.75" customHeight="1">
      <c r="A48" s="687" t="s">
        <v>313</v>
      </c>
      <c r="B48" s="687"/>
      <c r="C48" s="131"/>
      <c r="D48" s="131"/>
      <c r="E48" s="132"/>
      <c r="F48" s="131"/>
      <c r="G48" s="132"/>
      <c r="H48" s="131"/>
      <c r="I48" s="132"/>
      <c r="J48" s="131"/>
      <c r="K48" s="132"/>
      <c r="L48" s="132"/>
      <c r="M48" s="132"/>
      <c r="N48" s="132"/>
      <c r="O48" s="132"/>
      <c r="P48" s="132"/>
      <c r="Q48" s="132"/>
      <c r="R48" s="132"/>
      <c r="S48" s="133"/>
      <c r="T48" s="133"/>
      <c r="U48" s="134"/>
    </row>
    <row r="49" spans="1:21" ht="31.5">
      <c r="A49" s="135"/>
      <c r="B49" s="136" t="s">
        <v>314</v>
      </c>
      <c r="C49" s="136"/>
      <c r="D49" s="131"/>
      <c r="E49" s="132"/>
      <c r="F49" s="131"/>
      <c r="G49" s="132"/>
      <c r="H49" s="131"/>
      <c r="I49" s="132"/>
      <c r="J49" s="131"/>
      <c r="K49" s="132"/>
      <c r="L49" s="132"/>
      <c r="M49" s="132"/>
      <c r="N49" s="132"/>
      <c r="O49" s="132"/>
      <c r="P49" s="132"/>
      <c r="Q49" s="132"/>
      <c r="R49" s="132"/>
      <c r="S49" s="133"/>
      <c r="T49" s="133"/>
      <c r="U49" s="134"/>
    </row>
    <row r="50" spans="1:21" ht="15.75">
      <c r="A50" s="130">
        <v>1</v>
      </c>
      <c r="B50" s="131" t="s">
        <v>615</v>
      </c>
      <c r="C50" s="131"/>
      <c r="D50" s="131"/>
      <c r="E50" s="132"/>
      <c r="F50" s="131"/>
      <c r="G50" s="132"/>
      <c r="H50" s="131"/>
      <c r="I50" s="132"/>
      <c r="J50" s="131"/>
      <c r="K50" s="132"/>
      <c r="L50" s="132"/>
      <c r="M50" s="132"/>
      <c r="N50" s="132"/>
      <c r="O50" s="132"/>
      <c r="P50" s="132"/>
      <c r="Q50" s="132"/>
      <c r="R50" s="132"/>
      <c r="S50" s="133"/>
      <c r="T50" s="133"/>
      <c r="U50" s="134"/>
    </row>
    <row r="51" spans="1:21" ht="15.75">
      <c r="A51" s="130">
        <v>2</v>
      </c>
      <c r="B51" s="131" t="s">
        <v>616</v>
      </c>
      <c r="C51" s="131"/>
      <c r="D51" s="131"/>
      <c r="E51" s="132"/>
      <c r="F51" s="131"/>
      <c r="G51" s="132"/>
      <c r="H51" s="131"/>
      <c r="I51" s="132"/>
      <c r="J51" s="131"/>
      <c r="K51" s="132"/>
      <c r="L51" s="132"/>
      <c r="M51" s="132"/>
      <c r="N51" s="132"/>
      <c r="O51" s="132"/>
      <c r="P51" s="132"/>
      <c r="Q51" s="132"/>
      <c r="R51" s="132"/>
      <c r="S51" s="133"/>
      <c r="T51" s="133"/>
      <c r="U51" s="134"/>
    </row>
    <row r="52" spans="1:21" ht="15.75">
      <c r="A52" s="139" t="s">
        <v>617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1"/>
      <c r="T52" s="141"/>
      <c r="U52" s="142"/>
    </row>
    <row r="53" spans="1:21" ht="15.75">
      <c r="A53" s="143"/>
      <c r="B53" s="143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1:21" ht="15.75" customHeight="1">
      <c r="A54" s="143"/>
      <c r="B54" s="688" t="s">
        <v>655</v>
      </c>
      <c r="C54" s="688"/>
      <c r="D54" s="688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1:21" ht="15.75">
      <c r="A55" s="143"/>
      <c r="B55" s="144" t="s">
        <v>656</v>
      </c>
      <c r="C55" s="98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</row>
    <row r="56" spans="1:21" ht="15.75" customHeight="1">
      <c r="A56" s="143"/>
      <c r="B56" s="688" t="s">
        <v>657</v>
      </c>
      <c r="C56" s="688"/>
      <c r="D56" s="688"/>
      <c r="E56" s="688"/>
      <c r="F56" s="688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</row>
    <row r="57" spans="1:21" ht="15.75">
      <c r="A57" s="47"/>
      <c r="B57" s="1" t="s">
        <v>658</v>
      </c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1:21" ht="15.75">
      <c r="A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1:21" ht="15.75" customHeight="1">
      <c r="A59" s="47"/>
      <c r="B59" s="689" t="s">
        <v>319</v>
      </c>
      <c r="C59" s="689"/>
      <c r="D59" s="689"/>
      <c r="E59" s="689"/>
      <c r="F59" s="689"/>
      <c r="G59" s="689"/>
      <c r="H59" s="689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1:21" ht="15.75">
      <c r="A60" s="47"/>
      <c r="B60" s="48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1:21" ht="15.7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ht="15.75">
      <c r="A62" s="50"/>
    </row>
    <row r="63" spans="1:9" ht="15.75">
      <c r="A63" s="52"/>
      <c r="C63" s="145"/>
      <c r="G63" s="146"/>
      <c r="H63" s="147"/>
      <c r="I63" s="146"/>
    </row>
    <row r="64" spans="4:21" ht="15.75">
      <c r="D64" s="55"/>
      <c r="G64" s="54"/>
      <c r="I64" s="54"/>
      <c r="J64" s="54"/>
      <c r="K64" s="54"/>
      <c r="M64" s="146"/>
      <c r="N64" s="146"/>
      <c r="O64" s="146"/>
      <c r="P64" s="146"/>
      <c r="Q64" s="146"/>
      <c r="R64" s="146"/>
      <c r="S64" s="146"/>
      <c r="T64" s="146"/>
      <c r="U64" s="147"/>
    </row>
    <row r="65" spans="1:9" ht="15.75">
      <c r="A65" s="27"/>
      <c r="D65" s="113"/>
      <c r="I65" s="114"/>
    </row>
  </sheetData>
  <sheetProtection selectLockedCells="1" selectUnlockedCells="1"/>
  <mergeCells count="22">
    <mergeCell ref="O16:R16"/>
    <mergeCell ref="S16:T16"/>
    <mergeCell ref="Q17:R17"/>
    <mergeCell ref="S17:T17"/>
    <mergeCell ref="F17:G17"/>
    <mergeCell ref="H17:I17"/>
    <mergeCell ref="J17:K17"/>
    <mergeCell ref="L17:M17"/>
    <mergeCell ref="A48:B48"/>
    <mergeCell ref="B54:D54"/>
    <mergeCell ref="B56:F56"/>
    <mergeCell ref="B59:H59"/>
    <mergeCell ref="A7:U7"/>
    <mergeCell ref="A16:A18"/>
    <mergeCell ref="B16:B18"/>
    <mergeCell ref="C16:C18"/>
    <mergeCell ref="D16:M16"/>
    <mergeCell ref="N16:N18"/>
    <mergeCell ref="U16:U18"/>
    <mergeCell ref="D17:E17"/>
    <mergeCell ref="O17:O18"/>
    <mergeCell ref="P17:P18"/>
  </mergeCells>
  <printOptions/>
  <pageMargins left="0.425" right="0.425" top="0.9881944444444445" bottom="0.39791666666666664" header="0.5118055555555555" footer="0.5118055555555555"/>
  <pageSetup fitToHeight="1" fitToWidth="1" horizontalDpi="300" verticalDpi="3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zoomScale="75" zoomScaleNormal="75" zoomScaleSheetLayoutView="80" zoomScalePageLayoutView="0" workbookViewId="0" topLeftCell="F7">
      <selection activeCell="Q18" sqref="Q18"/>
    </sheetView>
  </sheetViews>
  <sheetFormatPr defaultColWidth="8.796875" defaultRowHeight="15"/>
  <cols>
    <col min="1" max="1" width="6.8984375" style="148" customWidth="1"/>
    <col min="2" max="2" width="57.3984375" style="149" customWidth="1"/>
    <col min="3" max="3" width="16.59765625" style="149" customWidth="1"/>
    <col min="4" max="4" width="13.5" style="149" customWidth="1"/>
    <col min="5" max="6" width="10.8984375" style="149" customWidth="1"/>
    <col min="7" max="7" width="7.5" style="149" customWidth="1"/>
    <col min="8" max="8" width="8.8984375" style="149" customWidth="1"/>
    <col min="9" max="9" width="13.8984375" style="149" customWidth="1"/>
    <col min="10" max="10" width="13.19921875" style="149" customWidth="1"/>
    <col min="11" max="11" width="16" style="149" customWidth="1"/>
    <col min="12" max="12" width="11.59765625" style="149" customWidth="1"/>
    <col min="13" max="13" width="16.8984375" style="149" customWidth="1"/>
    <col min="14" max="14" width="13.19921875" style="149" customWidth="1"/>
    <col min="15" max="15" width="18.3984375" style="149" customWidth="1"/>
    <col min="16" max="16" width="15" style="149" customWidth="1"/>
    <col min="17" max="17" width="14.69921875" style="150" customWidth="1"/>
    <col min="18" max="18" width="14.59765625" style="149" customWidth="1"/>
    <col min="19" max="19" width="13.69921875" style="149" customWidth="1"/>
    <col min="20" max="20" width="14.19921875" style="149" customWidth="1"/>
    <col min="21" max="21" width="52.8984375" style="151" customWidth="1"/>
    <col min="22" max="22" width="20.5" style="151" customWidth="1"/>
    <col min="23" max="23" width="27.8984375" style="151" customWidth="1"/>
    <col min="24" max="24" width="6.8984375" style="149" customWidth="1"/>
    <col min="25" max="25" width="5" style="149" customWidth="1"/>
    <col min="26" max="26" width="8" style="149" customWidth="1"/>
    <col min="27" max="27" width="11.8984375" style="149" customWidth="1"/>
    <col min="28" max="16384" width="9" style="148" customWidth="1"/>
  </cols>
  <sheetData>
    <row r="1" spans="1:27" ht="33.75" customHeight="1">
      <c r="A1" s="697" t="s">
        <v>212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  <c r="R1" s="697"/>
      <c r="S1" s="697"/>
      <c r="T1" s="697"/>
      <c r="U1" s="697"/>
      <c r="V1" s="697"/>
      <c r="W1" s="697"/>
      <c r="X1" s="697"/>
      <c r="Y1" s="697"/>
      <c r="Z1" s="697"/>
      <c r="AA1" s="697"/>
    </row>
    <row r="2" spans="1:27" ht="16.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"/>
      <c r="S2" s="153"/>
      <c r="T2" s="153"/>
      <c r="U2" s="153"/>
      <c r="V2" s="153"/>
      <c r="W2" s="153"/>
      <c r="X2" s="153"/>
      <c r="Y2" s="153"/>
      <c r="Z2" s="153"/>
      <c r="AA2" s="28" t="s">
        <v>256</v>
      </c>
    </row>
    <row r="3" spans="1:27" ht="16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"/>
      <c r="S3" s="153"/>
      <c r="T3" s="153"/>
      <c r="U3" s="153"/>
      <c r="V3" s="153"/>
      <c r="W3" s="153"/>
      <c r="X3" s="153"/>
      <c r="Y3" s="153"/>
      <c r="Z3" s="153"/>
      <c r="AA3" s="28" t="s">
        <v>257</v>
      </c>
    </row>
    <row r="4" spans="1:27" ht="16.5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"/>
      <c r="S4" s="28"/>
      <c r="T4" s="28"/>
      <c r="U4" s="28"/>
      <c r="V4" s="28"/>
      <c r="W4" s="28"/>
      <c r="X4" s="28"/>
      <c r="Y4" s="28"/>
      <c r="Z4" s="28"/>
      <c r="AA4" s="28" t="s">
        <v>258</v>
      </c>
    </row>
    <row r="5" spans="1:27" ht="16.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"/>
      <c r="S5" s="154"/>
      <c r="T5" s="154"/>
      <c r="U5" s="154"/>
      <c r="V5" s="154"/>
      <c r="W5" s="154"/>
      <c r="X5" s="154"/>
      <c r="Y5" s="154"/>
      <c r="Z5" s="154"/>
      <c r="AA5" s="29" t="s">
        <v>259</v>
      </c>
    </row>
    <row r="6" spans="1:27" ht="16.5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"/>
      <c r="S6" s="153"/>
      <c r="T6" s="153"/>
      <c r="U6" s="153"/>
      <c r="V6" s="153"/>
      <c r="W6" s="153"/>
      <c r="X6" s="153"/>
      <c r="Y6" s="153"/>
      <c r="Z6" s="153"/>
      <c r="AA6" s="28" t="s">
        <v>260</v>
      </c>
    </row>
    <row r="7" spans="1:27" ht="16.5" customHeight="1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"/>
      <c r="S7" s="28"/>
      <c r="T7" s="28"/>
      <c r="U7" s="28"/>
      <c r="V7" s="28"/>
      <c r="W7" s="28"/>
      <c r="X7" s="28"/>
      <c r="Y7" s="28"/>
      <c r="Z7" s="28"/>
      <c r="AA7" s="28" t="s">
        <v>261</v>
      </c>
    </row>
    <row r="8" spans="1:27" ht="16.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</row>
    <row r="9" spans="1:27" s="149" customFormat="1" ht="84.75" customHeight="1">
      <c r="A9" s="698" t="s">
        <v>659</v>
      </c>
      <c r="B9" s="693" t="s">
        <v>660</v>
      </c>
      <c r="C9" s="693" t="s">
        <v>661</v>
      </c>
      <c r="D9" s="693" t="s">
        <v>662</v>
      </c>
      <c r="E9" s="693" t="s">
        <v>663</v>
      </c>
      <c r="F9" s="693"/>
      <c r="G9" s="693"/>
      <c r="H9" s="693" t="s">
        <v>664</v>
      </c>
      <c r="I9" s="693" t="s">
        <v>665</v>
      </c>
      <c r="J9" s="693"/>
      <c r="K9" s="693" t="s">
        <v>666</v>
      </c>
      <c r="L9" s="693"/>
      <c r="M9" s="693"/>
      <c r="N9" s="693"/>
      <c r="O9" s="693" t="s">
        <v>667</v>
      </c>
      <c r="P9" s="693" t="s">
        <v>668</v>
      </c>
      <c r="Q9" s="694" t="s">
        <v>669</v>
      </c>
      <c r="R9" s="694"/>
      <c r="S9" s="693" t="s">
        <v>670</v>
      </c>
      <c r="T9" s="693"/>
      <c r="U9" s="695" t="s">
        <v>671</v>
      </c>
      <c r="V9" s="695"/>
      <c r="W9" s="695"/>
      <c r="X9" s="699" t="s">
        <v>672</v>
      </c>
      <c r="Y9" s="699"/>
      <c r="Z9" s="699"/>
      <c r="AA9" s="699"/>
    </row>
    <row r="10" spans="1:27" s="149" customFormat="1" ht="39.75" customHeight="1">
      <c r="A10" s="698"/>
      <c r="B10" s="693"/>
      <c r="C10" s="693"/>
      <c r="D10" s="693"/>
      <c r="E10" s="690" t="s">
        <v>673</v>
      </c>
      <c r="F10" s="690" t="s">
        <v>674</v>
      </c>
      <c r="G10" s="690" t="s">
        <v>675</v>
      </c>
      <c r="H10" s="693"/>
      <c r="I10" s="690" t="s">
        <v>676</v>
      </c>
      <c r="J10" s="690" t="s">
        <v>677</v>
      </c>
      <c r="K10" s="690" t="s">
        <v>678</v>
      </c>
      <c r="L10" s="690" t="s">
        <v>679</v>
      </c>
      <c r="M10" s="690" t="s">
        <v>680</v>
      </c>
      <c r="N10" s="690" t="s">
        <v>681</v>
      </c>
      <c r="O10" s="693"/>
      <c r="P10" s="693"/>
      <c r="Q10" s="696" t="s">
        <v>682</v>
      </c>
      <c r="R10" s="690" t="s">
        <v>683</v>
      </c>
      <c r="S10" s="690" t="s">
        <v>684</v>
      </c>
      <c r="T10" s="690" t="s">
        <v>683</v>
      </c>
      <c r="U10" s="690" t="s">
        <v>685</v>
      </c>
      <c r="V10" s="690" t="s">
        <v>686</v>
      </c>
      <c r="W10" s="690" t="s">
        <v>687</v>
      </c>
      <c r="X10" s="690" t="s">
        <v>688</v>
      </c>
      <c r="Y10" s="690"/>
      <c r="Z10" s="691" t="s">
        <v>689</v>
      </c>
      <c r="AA10" s="691"/>
    </row>
    <row r="11" spans="1:27" ht="63.75" customHeight="1">
      <c r="A11" s="698"/>
      <c r="B11" s="693"/>
      <c r="C11" s="693"/>
      <c r="D11" s="693"/>
      <c r="E11" s="693"/>
      <c r="F11" s="693"/>
      <c r="G11" s="693"/>
      <c r="H11" s="693"/>
      <c r="I11" s="693"/>
      <c r="J11" s="693"/>
      <c r="K11" s="693"/>
      <c r="L11" s="693"/>
      <c r="M11" s="693"/>
      <c r="N11" s="693"/>
      <c r="O11" s="693"/>
      <c r="P11" s="693"/>
      <c r="Q11" s="696"/>
      <c r="R11" s="690"/>
      <c r="S11" s="690"/>
      <c r="T11" s="690"/>
      <c r="U11" s="690"/>
      <c r="V11" s="690"/>
      <c r="W11" s="690"/>
      <c r="X11" s="155" t="s">
        <v>690</v>
      </c>
      <c r="Y11" s="155" t="s">
        <v>691</v>
      </c>
      <c r="Z11" s="157" t="s">
        <v>692</v>
      </c>
      <c r="AA11" s="156" t="s">
        <v>693</v>
      </c>
    </row>
    <row r="12" spans="1:27" ht="45">
      <c r="A12" s="158">
        <v>1</v>
      </c>
      <c r="B12" s="159" t="s">
        <v>694</v>
      </c>
      <c r="C12" s="160" t="s">
        <v>695</v>
      </c>
      <c r="D12" s="161" t="s">
        <v>695</v>
      </c>
      <c r="E12" s="155"/>
      <c r="F12" s="155"/>
      <c r="G12" s="155"/>
      <c r="H12" s="155"/>
      <c r="I12" s="162">
        <v>2013</v>
      </c>
      <c r="J12" s="162">
        <v>2013</v>
      </c>
      <c r="K12" s="163" t="s">
        <v>696</v>
      </c>
      <c r="L12" s="163" t="s">
        <v>697</v>
      </c>
      <c r="M12" s="163" t="s">
        <v>697</v>
      </c>
      <c r="N12" s="163" t="s">
        <v>697</v>
      </c>
      <c r="O12" s="163">
        <v>0</v>
      </c>
      <c r="P12" s="163">
        <v>0</v>
      </c>
      <c r="Q12" s="40">
        <v>4.912</v>
      </c>
      <c r="R12" s="155"/>
      <c r="S12" s="155"/>
      <c r="T12" s="155"/>
      <c r="U12" s="164" t="s">
        <v>698</v>
      </c>
      <c r="V12" s="155"/>
      <c r="W12" s="155"/>
      <c r="X12" s="155"/>
      <c r="Y12" s="155"/>
      <c r="Z12" s="157"/>
      <c r="AA12" s="156"/>
    </row>
    <row r="13" spans="1:27" ht="60">
      <c r="A13" s="158">
        <v>2</v>
      </c>
      <c r="B13" s="165" t="s">
        <v>699</v>
      </c>
      <c r="C13" s="160" t="s">
        <v>695</v>
      </c>
      <c r="D13" s="161" t="s">
        <v>695</v>
      </c>
      <c r="E13" s="166">
        <v>6.4</v>
      </c>
      <c r="F13" s="160"/>
      <c r="G13" s="160"/>
      <c r="H13" s="160"/>
      <c r="I13" s="162">
        <v>2013</v>
      </c>
      <c r="J13" s="162">
        <v>2013</v>
      </c>
      <c r="K13" s="163" t="s">
        <v>696</v>
      </c>
      <c r="L13" s="163" t="s">
        <v>697</v>
      </c>
      <c r="M13" s="163" t="s">
        <v>697</v>
      </c>
      <c r="N13" s="163" t="s">
        <v>697</v>
      </c>
      <c r="O13" s="163">
        <v>0</v>
      </c>
      <c r="P13" s="163">
        <v>0</v>
      </c>
      <c r="Q13" s="40">
        <v>4.495</v>
      </c>
      <c r="R13" s="160"/>
      <c r="S13" s="163"/>
      <c r="T13" s="160"/>
      <c r="U13" s="164" t="s">
        <v>700</v>
      </c>
      <c r="V13" s="163"/>
      <c r="W13" s="163"/>
      <c r="X13" s="160"/>
      <c r="Y13" s="160"/>
      <c r="Z13" s="160"/>
      <c r="AA13" s="167"/>
    </row>
    <row r="14" spans="1:27" ht="45">
      <c r="A14" s="158">
        <v>3</v>
      </c>
      <c r="B14" s="159" t="s">
        <v>701</v>
      </c>
      <c r="C14" s="160" t="s">
        <v>695</v>
      </c>
      <c r="D14" s="161" t="s">
        <v>695</v>
      </c>
      <c r="E14" s="162"/>
      <c r="F14" s="160"/>
      <c r="G14" s="160"/>
      <c r="H14" s="160"/>
      <c r="I14" s="162">
        <v>2013</v>
      </c>
      <c r="J14" s="162">
        <v>2013</v>
      </c>
      <c r="K14" s="163" t="s">
        <v>696</v>
      </c>
      <c r="L14" s="163" t="s">
        <v>697</v>
      </c>
      <c r="M14" s="163" t="s">
        <v>697</v>
      </c>
      <c r="N14" s="163" t="s">
        <v>697</v>
      </c>
      <c r="O14" s="163">
        <v>0</v>
      </c>
      <c r="P14" s="163">
        <v>0</v>
      </c>
      <c r="Q14" s="40">
        <v>5.503</v>
      </c>
      <c r="R14" s="160"/>
      <c r="S14" s="163"/>
      <c r="T14" s="160"/>
      <c r="U14" s="164" t="s">
        <v>702</v>
      </c>
      <c r="V14" s="163"/>
      <c r="W14" s="163"/>
      <c r="X14" s="160"/>
      <c r="Y14" s="160"/>
      <c r="Z14" s="160"/>
      <c r="AA14" s="167"/>
    </row>
    <row r="15" spans="1:27" ht="45">
      <c r="A15" s="168">
        <v>4</v>
      </c>
      <c r="B15" s="159" t="s">
        <v>289</v>
      </c>
      <c r="C15" s="160" t="s">
        <v>695</v>
      </c>
      <c r="D15" s="161" t="s">
        <v>695</v>
      </c>
      <c r="E15" s="160"/>
      <c r="F15" s="160"/>
      <c r="G15" s="169">
        <v>4.09</v>
      </c>
      <c r="H15" s="160"/>
      <c r="I15" s="162">
        <v>2013</v>
      </c>
      <c r="J15" s="162">
        <v>2013</v>
      </c>
      <c r="K15" s="163" t="s">
        <v>696</v>
      </c>
      <c r="L15" s="163" t="s">
        <v>697</v>
      </c>
      <c r="M15" s="163" t="s">
        <v>697</v>
      </c>
      <c r="N15" s="163" t="s">
        <v>697</v>
      </c>
      <c r="O15" s="163">
        <v>0</v>
      </c>
      <c r="P15" s="163">
        <v>0</v>
      </c>
      <c r="Q15" s="40">
        <v>9.5</v>
      </c>
      <c r="R15" s="160"/>
      <c r="S15" s="163"/>
      <c r="T15" s="161"/>
      <c r="U15" s="164" t="s">
        <v>703</v>
      </c>
      <c r="V15" s="163"/>
      <c r="W15" s="163"/>
      <c r="X15" s="160"/>
      <c r="Y15" s="160"/>
      <c r="Z15" s="160"/>
      <c r="AA15" s="167"/>
    </row>
    <row r="16" spans="1:27" ht="37.5">
      <c r="A16" s="168">
        <v>5</v>
      </c>
      <c r="B16" s="165" t="s">
        <v>291</v>
      </c>
      <c r="C16" s="160" t="s">
        <v>695</v>
      </c>
      <c r="D16" s="161" t="s">
        <v>695</v>
      </c>
      <c r="E16" s="160"/>
      <c r="F16" s="160"/>
      <c r="G16" s="169">
        <v>37.854</v>
      </c>
      <c r="H16" s="160"/>
      <c r="I16" s="162">
        <v>2013</v>
      </c>
      <c r="J16" s="162">
        <v>2013</v>
      </c>
      <c r="K16" s="163" t="s">
        <v>696</v>
      </c>
      <c r="L16" s="163" t="s">
        <v>697</v>
      </c>
      <c r="M16" s="163" t="s">
        <v>697</v>
      </c>
      <c r="N16" s="163" t="s">
        <v>697</v>
      </c>
      <c r="O16" s="163">
        <v>0</v>
      </c>
      <c r="P16" s="163">
        <v>0</v>
      </c>
      <c r="Q16" s="36">
        <v>42.481</v>
      </c>
      <c r="R16" s="160"/>
      <c r="S16" s="160"/>
      <c r="T16" s="160"/>
      <c r="U16" s="164" t="s">
        <v>704</v>
      </c>
      <c r="V16" s="163"/>
      <c r="W16" s="163"/>
      <c r="X16" s="160"/>
      <c r="Y16" s="160"/>
      <c r="Z16" s="160"/>
      <c r="AA16" s="167"/>
    </row>
    <row r="17" spans="1:27" ht="90">
      <c r="A17" s="168">
        <v>6</v>
      </c>
      <c r="B17" s="159" t="s">
        <v>627</v>
      </c>
      <c r="C17" s="160" t="s">
        <v>695</v>
      </c>
      <c r="D17" s="161" t="s">
        <v>695</v>
      </c>
      <c r="E17" s="169">
        <v>0.4</v>
      </c>
      <c r="F17" s="160"/>
      <c r="G17" s="160"/>
      <c r="H17" s="160"/>
      <c r="I17" s="162">
        <v>2013</v>
      </c>
      <c r="J17" s="162">
        <v>2013</v>
      </c>
      <c r="K17" s="163" t="s">
        <v>696</v>
      </c>
      <c r="L17" s="163" t="s">
        <v>697</v>
      </c>
      <c r="M17" s="163" t="s">
        <v>697</v>
      </c>
      <c r="N17" s="163" t="s">
        <v>697</v>
      </c>
      <c r="O17" s="163">
        <v>0</v>
      </c>
      <c r="P17" s="163">
        <v>0</v>
      </c>
      <c r="Q17" s="40">
        <v>8.532</v>
      </c>
      <c r="R17" s="160"/>
      <c r="S17" s="160"/>
      <c r="T17" s="160"/>
      <c r="U17" s="164" t="s">
        <v>705</v>
      </c>
      <c r="V17" s="163"/>
      <c r="W17" s="163"/>
      <c r="X17" s="160"/>
      <c r="Y17" s="160"/>
      <c r="Z17" s="160"/>
      <c r="AA17" s="167"/>
    </row>
    <row r="18" spans="1:27" ht="60">
      <c r="A18" s="168">
        <v>7</v>
      </c>
      <c r="B18" s="159" t="s">
        <v>293</v>
      </c>
      <c r="C18" s="160" t="s">
        <v>695</v>
      </c>
      <c r="D18" s="161" t="s">
        <v>695</v>
      </c>
      <c r="E18" s="163"/>
      <c r="F18" s="160"/>
      <c r="G18" s="160"/>
      <c r="H18" s="160"/>
      <c r="I18" s="162">
        <v>2013</v>
      </c>
      <c r="J18" s="162">
        <v>2013</v>
      </c>
      <c r="K18" s="163" t="s">
        <v>696</v>
      </c>
      <c r="L18" s="163" t="s">
        <v>697</v>
      </c>
      <c r="M18" s="163" t="s">
        <v>697</v>
      </c>
      <c r="N18" s="163" t="s">
        <v>697</v>
      </c>
      <c r="O18" s="163">
        <v>0</v>
      </c>
      <c r="P18" s="163">
        <v>0</v>
      </c>
      <c r="Q18" s="40">
        <v>12.168</v>
      </c>
      <c r="R18" s="160"/>
      <c r="S18" s="160"/>
      <c r="T18" s="160"/>
      <c r="U18" s="164" t="s">
        <v>706</v>
      </c>
      <c r="V18" s="163"/>
      <c r="W18" s="163"/>
      <c r="X18" s="160"/>
      <c r="Y18" s="160"/>
      <c r="Z18" s="160"/>
      <c r="AA18" s="167"/>
    </row>
    <row r="19" spans="1:27" ht="45">
      <c r="A19" s="168">
        <v>8</v>
      </c>
      <c r="B19" s="165" t="s">
        <v>707</v>
      </c>
      <c r="C19" s="160" t="s">
        <v>695</v>
      </c>
      <c r="D19" s="161" t="s">
        <v>695</v>
      </c>
      <c r="E19" s="163"/>
      <c r="F19" s="160"/>
      <c r="G19" s="160"/>
      <c r="H19" s="160"/>
      <c r="I19" s="162">
        <v>2013</v>
      </c>
      <c r="J19" s="162">
        <v>2013</v>
      </c>
      <c r="K19" s="163" t="s">
        <v>696</v>
      </c>
      <c r="L19" s="163" t="s">
        <v>697</v>
      </c>
      <c r="M19" s="163" t="s">
        <v>697</v>
      </c>
      <c r="N19" s="163" t="s">
        <v>697</v>
      </c>
      <c r="O19" s="163">
        <v>0</v>
      </c>
      <c r="P19" s="163">
        <v>0</v>
      </c>
      <c r="Q19" s="170">
        <v>2.314</v>
      </c>
      <c r="R19" s="160"/>
      <c r="S19" s="160"/>
      <c r="T19" s="160"/>
      <c r="U19" s="164" t="s">
        <v>708</v>
      </c>
      <c r="V19" s="163"/>
      <c r="W19" s="163"/>
      <c r="X19" s="160"/>
      <c r="Y19" s="160"/>
      <c r="Z19" s="160"/>
      <c r="AA19" s="167"/>
    </row>
    <row r="20" spans="1:27" ht="45">
      <c r="A20" s="168">
        <v>9</v>
      </c>
      <c r="B20" s="165" t="s">
        <v>586</v>
      </c>
      <c r="C20" s="160" t="s">
        <v>695</v>
      </c>
      <c r="D20" s="161" t="s">
        <v>695</v>
      </c>
      <c r="E20" s="163"/>
      <c r="F20" s="160"/>
      <c r="G20" s="160"/>
      <c r="H20" s="160"/>
      <c r="I20" s="162">
        <v>2013</v>
      </c>
      <c r="J20" s="162">
        <v>2013</v>
      </c>
      <c r="K20" s="163" t="s">
        <v>696</v>
      </c>
      <c r="L20" s="163" t="s">
        <v>697</v>
      </c>
      <c r="M20" s="163" t="s">
        <v>697</v>
      </c>
      <c r="N20" s="163" t="s">
        <v>697</v>
      </c>
      <c r="O20" s="163">
        <v>0</v>
      </c>
      <c r="P20" s="163">
        <v>0</v>
      </c>
      <c r="Q20" s="170">
        <v>2.591</v>
      </c>
      <c r="R20" s="160"/>
      <c r="S20" s="160"/>
      <c r="T20" s="160"/>
      <c r="U20" s="164" t="s">
        <v>708</v>
      </c>
      <c r="V20" s="163"/>
      <c r="W20" s="163"/>
      <c r="X20" s="160"/>
      <c r="Y20" s="160"/>
      <c r="Z20" s="160"/>
      <c r="AA20" s="167"/>
    </row>
    <row r="21" spans="1:27" ht="56.25">
      <c r="A21" s="168">
        <v>10</v>
      </c>
      <c r="B21" s="165" t="s">
        <v>301</v>
      </c>
      <c r="C21" s="160" t="s">
        <v>695</v>
      </c>
      <c r="D21" s="161" t="s">
        <v>695</v>
      </c>
      <c r="E21" s="163"/>
      <c r="F21" s="160"/>
      <c r="G21" s="160"/>
      <c r="H21" s="160"/>
      <c r="I21" s="162">
        <v>2013</v>
      </c>
      <c r="J21" s="162">
        <v>2013</v>
      </c>
      <c r="K21" s="163" t="s">
        <v>696</v>
      </c>
      <c r="L21" s="163" t="s">
        <v>697</v>
      </c>
      <c r="M21" s="163" t="s">
        <v>697</v>
      </c>
      <c r="N21" s="163" t="s">
        <v>697</v>
      </c>
      <c r="O21" s="163">
        <v>0</v>
      </c>
      <c r="P21" s="163">
        <v>0</v>
      </c>
      <c r="Q21" s="170">
        <v>2.766</v>
      </c>
      <c r="R21" s="160"/>
      <c r="S21" s="160"/>
      <c r="T21" s="160"/>
      <c r="U21" s="164" t="s">
        <v>709</v>
      </c>
      <c r="V21" s="163"/>
      <c r="W21" s="163"/>
      <c r="X21" s="160"/>
      <c r="Y21" s="160"/>
      <c r="Z21" s="160"/>
      <c r="AA21" s="167"/>
    </row>
    <row r="22" spans="1:27" ht="56.25">
      <c r="A22" s="168">
        <v>11</v>
      </c>
      <c r="B22" s="165" t="s">
        <v>710</v>
      </c>
      <c r="C22" s="160" t="s">
        <v>695</v>
      </c>
      <c r="D22" s="161" t="s">
        <v>695</v>
      </c>
      <c r="E22" s="163"/>
      <c r="F22" s="160"/>
      <c r="G22" s="160"/>
      <c r="H22" s="160"/>
      <c r="I22" s="162">
        <v>2013</v>
      </c>
      <c r="J22" s="162">
        <v>2013</v>
      </c>
      <c r="K22" s="163" t="s">
        <v>696</v>
      </c>
      <c r="L22" s="163" t="s">
        <v>697</v>
      </c>
      <c r="M22" s="163" t="s">
        <v>697</v>
      </c>
      <c r="N22" s="163" t="s">
        <v>697</v>
      </c>
      <c r="O22" s="163">
        <v>0</v>
      </c>
      <c r="P22" s="163">
        <v>0</v>
      </c>
      <c r="Q22" s="171">
        <v>2.5140000000000002</v>
      </c>
      <c r="R22" s="160"/>
      <c r="S22" s="160"/>
      <c r="T22" s="160"/>
      <c r="U22" s="164" t="s">
        <v>711</v>
      </c>
      <c r="V22" s="163"/>
      <c r="W22" s="163"/>
      <c r="X22" s="160"/>
      <c r="Y22" s="160"/>
      <c r="Z22" s="160"/>
      <c r="AA22" s="167"/>
    </row>
    <row r="23" spans="1:27" ht="45">
      <c r="A23" s="168">
        <v>12</v>
      </c>
      <c r="B23" s="165" t="s">
        <v>306</v>
      </c>
      <c r="C23" s="160" t="s">
        <v>695</v>
      </c>
      <c r="D23" s="161" t="s">
        <v>695</v>
      </c>
      <c r="E23" s="163"/>
      <c r="F23" s="160"/>
      <c r="G23" s="160"/>
      <c r="H23" s="160"/>
      <c r="I23" s="162">
        <v>2013</v>
      </c>
      <c r="J23" s="162">
        <v>2013</v>
      </c>
      <c r="K23" s="163" t="s">
        <v>696</v>
      </c>
      <c r="L23" s="163" t="s">
        <v>697</v>
      </c>
      <c r="M23" s="163" t="s">
        <v>697</v>
      </c>
      <c r="N23" s="163" t="s">
        <v>697</v>
      </c>
      <c r="O23" s="163">
        <v>0</v>
      </c>
      <c r="P23" s="163">
        <v>0</v>
      </c>
      <c r="Q23" s="170">
        <v>0.4</v>
      </c>
      <c r="R23" s="160"/>
      <c r="S23" s="160"/>
      <c r="T23" s="160"/>
      <c r="U23" s="164" t="s">
        <v>712</v>
      </c>
      <c r="V23" s="163"/>
      <c r="W23" s="163"/>
      <c r="X23" s="160"/>
      <c r="Y23" s="160"/>
      <c r="Z23" s="160"/>
      <c r="AA23" s="167"/>
    </row>
    <row r="24" spans="1:27" ht="60">
      <c r="A24" s="172">
        <v>13</v>
      </c>
      <c r="B24" s="173" t="s">
        <v>311</v>
      </c>
      <c r="C24" s="174" t="s">
        <v>695</v>
      </c>
      <c r="D24" s="175" t="s">
        <v>695</v>
      </c>
      <c r="E24" s="176">
        <v>2.56</v>
      </c>
      <c r="F24" s="174"/>
      <c r="G24" s="174"/>
      <c r="H24" s="174"/>
      <c r="I24" s="177">
        <v>2013</v>
      </c>
      <c r="J24" s="177">
        <v>2013</v>
      </c>
      <c r="K24" s="177" t="s">
        <v>697</v>
      </c>
      <c r="L24" s="177" t="s">
        <v>697</v>
      </c>
      <c r="M24" s="177" t="s">
        <v>697</v>
      </c>
      <c r="N24" s="177" t="s">
        <v>697</v>
      </c>
      <c r="O24" s="177">
        <v>0</v>
      </c>
      <c r="P24" s="177">
        <v>0</v>
      </c>
      <c r="Q24" s="178">
        <v>21.09</v>
      </c>
      <c r="R24" s="174"/>
      <c r="S24" s="174"/>
      <c r="T24" s="174"/>
      <c r="U24" s="179" t="s">
        <v>713</v>
      </c>
      <c r="V24" s="177"/>
      <c r="W24" s="177"/>
      <c r="X24" s="174"/>
      <c r="Y24" s="174"/>
      <c r="Z24" s="174"/>
      <c r="AA24" s="180"/>
    </row>
    <row r="25" ht="15">
      <c r="Q25" s="150">
        <f>SUM(Q12:Q24)</f>
        <v>119.266</v>
      </c>
    </row>
    <row r="27" spans="2:27" ht="76.5" customHeight="1">
      <c r="B27" s="692" t="s">
        <v>714</v>
      </c>
      <c r="C27" s="692"/>
      <c r="D27" s="692"/>
      <c r="E27" s="692"/>
      <c r="F27" s="692"/>
      <c r="G27" s="692"/>
      <c r="H27" s="692"/>
      <c r="I27" s="692"/>
      <c r="J27" s="692"/>
      <c r="K27" s="692"/>
      <c r="L27" s="692"/>
      <c r="M27" s="692"/>
      <c r="N27" s="692"/>
      <c r="O27" s="692"/>
      <c r="P27" s="692"/>
      <c r="Q27" s="692"/>
      <c r="R27" s="692"/>
      <c r="S27" s="692"/>
      <c r="T27" s="692"/>
      <c r="U27" s="692"/>
      <c r="V27" s="692"/>
      <c r="W27" s="692"/>
      <c r="X27" s="692"/>
      <c r="Y27" s="692"/>
      <c r="Z27" s="692"/>
      <c r="AA27" s="692"/>
    </row>
    <row r="28" ht="15">
      <c r="B28" s="149" t="s">
        <v>715</v>
      </c>
    </row>
    <row r="29" ht="15">
      <c r="B29" s="149" t="s">
        <v>716</v>
      </c>
    </row>
    <row r="30" ht="15">
      <c r="B30" s="149" t="s">
        <v>717</v>
      </c>
    </row>
  </sheetData>
  <sheetProtection selectLockedCells="1" selectUnlockedCells="1"/>
  <mergeCells count="34">
    <mergeCell ref="O9:O11"/>
    <mergeCell ref="S10:S11"/>
    <mergeCell ref="T10:T11"/>
    <mergeCell ref="M10:M11"/>
    <mergeCell ref="N10:N11"/>
    <mergeCell ref="U10:U11"/>
    <mergeCell ref="V10:V11"/>
    <mergeCell ref="A1:AA1"/>
    <mergeCell ref="A9:A11"/>
    <mergeCell ref="B9:B11"/>
    <mergeCell ref="C9:C11"/>
    <mergeCell ref="D9:D11"/>
    <mergeCell ref="E9:G9"/>
    <mergeCell ref="X9:AA9"/>
    <mergeCell ref="E10:E11"/>
    <mergeCell ref="K10:K11"/>
    <mergeCell ref="L10:L11"/>
    <mergeCell ref="H9:H11"/>
    <mergeCell ref="I9:J9"/>
    <mergeCell ref="K9:N9"/>
    <mergeCell ref="F10:F11"/>
    <mergeCell ref="G10:G11"/>
    <mergeCell ref="I10:I11"/>
    <mergeCell ref="J10:J11"/>
    <mergeCell ref="W10:W11"/>
    <mergeCell ref="X10:Y10"/>
    <mergeCell ref="Z10:AA10"/>
    <mergeCell ref="B27:AA27"/>
    <mergeCell ref="P9:P11"/>
    <mergeCell ref="Q9:R9"/>
    <mergeCell ref="S9:T9"/>
    <mergeCell ref="U9:W9"/>
    <mergeCell ref="Q10:Q11"/>
    <mergeCell ref="R10:R11"/>
  </mergeCells>
  <printOptions/>
  <pageMargins left="0.7875" right="0.39375" top="0.9881944444444445" bottom="0.39791666666666664" header="0.5118055555555555" footer="0.5118055555555555"/>
  <pageSetup fitToHeight="1" fitToWidth="1" horizontalDpi="300" verticalDpi="300" orientation="landscape" pageOrder="overThenDown" paperSize="9" scale="2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zoomScale="75" zoomScaleNormal="75" zoomScaleSheetLayoutView="80" zoomScalePageLayoutView="0" workbookViewId="0" topLeftCell="A13">
      <selection activeCell="A5" sqref="A5:K5"/>
    </sheetView>
  </sheetViews>
  <sheetFormatPr defaultColWidth="8.796875" defaultRowHeight="15"/>
  <cols>
    <col min="1" max="1" width="54" style="181" customWidth="1"/>
    <col min="2" max="2" width="16.19921875" style="181" customWidth="1"/>
    <col min="3" max="3" width="12.09765625" style="181" customWidth="1"/>
    <col min="4" max="4" width="13.8984375" style="181" customWidth="1"/>
    <col min="5" max="5" width="20.19921875" style="181" customWidth="1"/>
    <col min="6" max="10" width="0" style="181" hidden="1" customWidth="1"/>
    <col min="11" max="11" width="24.8984375" style="181" customWidth="1"/>
    <col min="12" max="16384" width="9" style="181" customWidth="1"/>
  </cols>
  <sheetData>
    <row r="1" ht="15.75">
      <c r="K1" s="182" t="s">
        <v>718</v>
      </c>
    </row>
    <row r="2" ht="15.75">
      <c r="K2" s="182" t="s">
        <v>629</v>
      </c>
    </row>
    <row r="3" ht="15.75">
      <c r="K3" s="182" t="s">
        <v>630</v>
      </c>
    </row>
    <row r="4" ht="15.75">
      <c r="K4" s="182"/>
    </row>
    <row r="5" spans="1:11" ht="15.75">
      <c r="A5" s="702" t="s">
        <v>214</v>
      </c>
      <c r="B5" s="702"/>
      <c r="C5" s="702"/>
      <c r="D5" s="702"/>
      <c r="E5" s="702"/>
      <c r="F5" s="702"/>
      <c r="G5" s="702"/>
      <c r="H5" s="702"/>
      <c r="I5" s="702"/>
      <c r="J5" s="702"/>
      <c r="K5" s="702"/>
    </row>
    <row r="6" ht="15.75">
      <c r="A6" s="183"/>
    </row>
    <row r="7" spans="1:11" ht="15.75">
      <c r="A7" s="183"/>
      <c r="K7" s="184" t="s">
        <v>256</v>
      </c>
    </row>
    <row r="8" spans="1:11" ht="15.75">
      <c r="A8" s="183"/>
      <c r="K8" s="184" t="s">
        <v>631</v>
      </c>
    </row>
    <row r="9" spans="1:11" ht="15.75">
      <c r="A9" s="183"/>
      <c r="K9" s="184"/>
    </row>
    <row r="10" spans="1:11" ht="15.75">
      <c r="A10" s="183"/>
      <c r="K10" s="185" t="s">
        <v>259</v>
      </c>
    </row>
    <row r="11" spans="1:11" ht="15.75">
      <c r="A11" s="183"/>
      <c r="K11" s="184" t="s">
        <v>260</v>
      </c>
    </row>
    <row r="12" spans="1:11" ht="15.75">
      <c r="A12" s="183"/>
      <c r="K12" s="184" t="s">
        <v>261</v>
      </c>
    </row>
    <row r="13" ht="15.75">
      <c r="D13" s="183" t="s">
        <v>347</v>
      </c>
    </row>
    <row r="14" spans="1:8" ht="15.75">
      <c r="A14" s="186" t="s">
        <v>719</v>
      </c>
      <c r="B14" s="186" t="s">
        <v>720</v>
      </c>
      <c r="D14" s="187"/>
      <c r="E14" s="188"/>
      <c r="F14" s="188"/>
      <c r="G14" s="188"/>
      <c r="H14" s="188"/>
    </row>
    <row r="15" spans="1:2" ht="15.75">
      <c r="A15" s="189" t="s">
        <v>721</v>
      </c>
      <c r="B15" s="190">
        <v>1200000000</v>
      </c>
    </row>
    <row r="16" spans="1:2" ht="15.75">
      <c r="A16" s="191" t="s">
        <v>722</v>
      </c>
      <c r="B16" s="192">
        <v>0</v>
      </c>
    </row>
    <row r="17" spans="1:4" ht="15.75">
      <c r="A17" s="191" t="s">
        <v>723</v>
      </c>
      <c r="B17" s="192">
        <v>50</v>
      </c>
      <c r="D17" s="183" t="s">
        <v>724</v>
      </c>
    </row>
    <row r="18" spans="1:14" ht="15.75">
      <c r="A18" s="193" t="s">
        <v>725</v>
      </c>
      <c r="B18" s="194">
        <v>1</v>
      </c>
      <c r="D18" s="700" t="s">
        <v>726</v>
      </c>
      <c r="E18" s="700"/>
      <c r="F18" s="195"/>
      <c r="G18" s="196" t="e">
        <f>SUM(B80:K80)</f>
        <v>#VALUE!</v>
      </c>
      <c r="K18" s="197"/>
      <c r="N18" s="198"/>
    </row>
    <row r="19" spans="1:11" ht="15.75">
      <c r="A19" s="189" t="s">
        <v>727</v>
      </c>
      <c r="B19" s="190">
        <v>5000000</v>
      </c>
      <c r="D19" s="700" t="s">
        <v>728</v>
      </c>
      <c r="E19" s="700"/>
      <c r="F19" s="195"/>
      <c r="G19" s="196" t="e">
        <f>IF(SUM(B81:K81)=0,"не окупается",SUM(B81:K81))</f>
        <v>#DIV/0!</v>
      </c>
      <c r="K19" s="197"/>
    </row>
    <row r="20" spans="1:11" ht="15.75">
      <c r="A20" s="191" t="s">
        <v>729</v>
      </c>
      <c r="B20" s="192">
        <v>4</v>
      </c>
      <c r="D20" s="700" t="s">
        <v>730</v>
      </c>
      <c r="E20" s="700"/>
      <c r="F20" s="195"/>
      <c r="G20" s="199" t="e">
        <f>K78</f>
        <v>#DIV/0!</v>
      </c>
      <c r="K20" s="197"/>
    </row>
    <row r="21" spans="1:11" ht="15.75">
      <c r="A21" s="191" t="s">
        <v>731</v>
      </c>
      <c r="B21" s="192">
        <v>1</v>
      </c>
      <c r="D21" s="700" t="s">
        <v>732</v>
      </c>
      <c r="E21" s="700"/>
      <c r="F21" s="195"/>
      <c r="G21" s="200" t="e">
        <f>IF(G20&gt;0,"да","нет")</f>
        <v>#DIV/0!</v>
      </c>
      <c r="K21" s="197"/>
    </row>
    <row r="22" spans="1:2" ht="15.75">
      <c r="A22" s="191" t="s">
        <v>733</v>
      </c>
      <c r="B22" s="192">
        <v>450000</v>
      </c>
    </row>
    <row r="23" spans="1:2" ht="15.75">
      <c r="A23" s="191" t="s">
        <v>734</v>
      </c>
      <c r="B23" s="192">
        <v>4</v>
      </c>
    </row>
    <row r="24" spans="1:2" ht="15.75">
      <c r="A24" s="191" t="s">
        <v>735</v>
      </c>
      <c r="B24" s="192">
        <v>1</v>
      </c>
    </row>
    <row r="25" spans="1:2" ht="15.75">
      <c r="A25" s="201" t="s">
        <v>347</v>
      </c>
      <c r="B25" s="202">
        <v>0</v>
      </c>
    </row>
    <row r="26" spans="1:2" ht="15.75">
      <c r="A26" s="193" t="s">
        <v>736</v>
      </c>
      <c r="B26" s="203">
        <v>0.2</v>
      </c>
    </row>
    <row r="27" spans="1:2" ht="15.75">
      <c r="A27" s="189" t="s">
        <v>347</v>
      </c>
      <c r="B27" s="190">
        <v>0</v>
      </c>
    </row>
    <row r="28" spans="1:2" ht="15.75">
      <c r="A28" s="191" t="s">
        <v>737</v>
      </c>
      <c r="B28" s="192">
        <v>0</v>
      </c>
    </row>
    <row r="29" spans="1:2" ht="15.75">
      <c r="A29" s="201" t="s">
        <v>738</v>
      </c>
      <c r="B29" s="204">
        <v>0.1</v>
      </c>
    </row>
    <row r="30" spans="1:2" ht="15.75">
      <c r="A30" s="205" t="s">
        <v>739</v>
      </c>
      <c r="B30" s="206">
        <v>7</v>
      </c>
    </row>
    <row r="31" spans="1:2" ht="15.75">
      <c r="A31" s="207" t="s">
        <v>740</v>
      </c>
      <c r="B31" s="208">
        <v>0.12</v>
      </c>
    </row>
    <row r="32" spans="1:2" ht="15.75">
      <c r="A32" s="207" t="s">
        <v>741</v>
      </c>
      <c r="B32" s="209">
        <v>0.15</v>
      </c>
    </row>
    <row r="33" spans="1:2" ht="15.75">
      <c r="A33" s="207" t="s">
        <v>742</v>
      </c>
      <c r="B33" s="209">
        <v>0.75</v>
      </c>
    </row>
    <row r="34" spans="1:2" ht="15.75">
      <c r="A34" s="207" t="s">
        <v>743</v>
      </c>
      <c r="B34" s="209">
        <v>0.125</v>
      </c>
    </row>
    <row r="35" spans="1:2" ht="15.75">
      <c r="A35" s="207" t="s">
        <v>744</v>
      </c>
      <c r="B35" s="209">
        <f>1-B33</f>
        <v>0.25</v>
      </c>
    </row>
    <row r="36" spans="1:2" ht="15.75">
      <c r="A36" s="210" t="s">
        <v>745</v>
      </c>
      <c r="B36" s="211">
        <f>B35*B34+B33*B32*(1-B26)</f>
        <v>0.12125</v>
      </c>
    </row>
    <row r="37" spans="1:11" ht="31.5">
      <c r="A37" s="212" t="s">
        <v>746</v>
      </c>
      <c r="B37" s="213" t="s">
        <v>203</v>
      </c>
      <c r="C37" s="214" t="s">
        <v>747</v>
      </c>
      <c r="D37" s="213" t="s">
        <v>748</v>
      </c>
      <c r="E37" s="214" t="s">
        <v>617</v>
      </c>
      <c r="F37" s="213" t="s">
        <v>749</v>
      </c>
      <c r="G37" s="214" t="s">
        <v>750</v>
      </c>
      <c r="H37" s="213" t="s">
        <v>751</v>
      </c>
      <c r="I37" s="214" t="s">
        <v>752</v>
      </c>
      <c r="J37" s="213" t="s">
        <v>753</v>
      </c>
      <c r="K37" s="215" t="s">
        <v>754</v>
      </c>
    </row>
    <row r="38" spans="1:11" ht="15.75">
      <c r="A38" s="216" t="s">
        <v>755</v>
      </c>
      <c r="B38" s="217">
        <v>0.06</v>
      </c>
      <c r="C38" s="217">
        <v>0.06</v>
      </c>
      <c r="D38" s="217">
        <v>0.06</v>
      </c>
      <c r="E38" s="217">
        <v>0.06</v>
      </c>
      <c r="F38" s="217">
        <v>0.06</v>
      </c>
      <c r="G38" s="217">
        <v>0.06</v>
      </c>
      <c r="H38" s="217">
        <v>0.06</v>
      </c>
      <c r="I38" s="217">
        <v>0.06</v>
      </c>
      <c r="J38" s="217">
        <v>0.06</v>
      </c>
      <c r="K38" s="218">
        <v>0.06</v>
      </c>
    </row>
    <row r="39" spans="1:11" ht="15.75">
      <c r="A39" s="216" t="s">
        <v>756</v>
      </c>
      <c r="B39" s="217">
        <f>B38</f>
        <v>0.06</v>
      </c>
      <c r="C39" s="217">
        <f aca="true" t="shared" si="0" ref="C39:K39">(1+B39)*(1+C38)-1</f>
        <v>0.12360000000000015</v>
      </c>
      <c r="D39" s="217">
        <f t="shared" si="0"/>
        <v>0.1910160000000003</v>
      </c>
      <c r="E39" s="217">
        <f t="shared" si="0"/>
        <v>0.2624769600000003</v>
      </c>
      <c r="F39" s="217">
        <f t="shared" si="0"/>
        <v>0.3382255776000005</v>
      </c>
      <c r="G39" s="217">
        <f t="shared" si="0"/>
        <v>0.4185191122560006</v>
      </c>
      <c r="H39" s="217">
        <f t="shared" si="0"/>
        <v>0.5036302589913606</v>
      </c>
      <c r="I39" s="217">
        <f t="shared" si="0"/>
        <v>0.5938480745308423</v>
      </c>
      <c r="J39" s="217">
        <f t="shared" si="0"/>
        <v>0.6894789590026928</v>
      </c>
      <c r="K39" s="218">
        <f t="shared" si="0"/>
        <v>0.7908476965428546</v>
      </c>
    </row>
    <row r="40" spans="1:11" s="183" customFormat="1" ht="15.75">
      <c r="A40" s="219" t="s">
        <v>757</v>
      </c>
      <c r="B40" s="220">
        <v>425000000</v>
      </c>
      <c r="C40" s="221">
        <f aca="true" t="shared" si="1" ref="C40:K40">B40*(1+C39)</f>
        <v>477530000.00000006</v>
      </c>
      <c r="D40" s="221">
        <f t="shared" si="1"/>
        <v>568745870.4800003</v>
      </c>
      <c r="E40" s="221">
        <f t="shared" si="1"/>
        <v>718028557.5761447</v>
      </c>
      <c r="F40" s="221">
        <f t="shared" si="1"/>
        <v>960884181.1956315</v>
      </c>
      <c r="G40" s="221">
        <f t="shared" si="1"/>
        <v>1363032575.6904612</v>
      </c>
      <c r="H40" s="221">
        <f t="shared" si="1"/>
        <v>2049497024.7991095</v>
      </c>
      <c r="I40" s="221">
        <f t="shared" si="1"/>
        <v>3266586886.7327504</v>
      </c>
      <c r="J40" s="221">
        <f t="shared" si="1"/>
        <v>5518829812.889094</v>
      </c>
      <c r="K40" s="222">
        <f t="shared" si="1"/>
        <v>9883383658.024467</v>
      </c>
    </row>
    <row r="42" spans="1:23" ht="31.5">
      <c r="A42" s="223" t="s">
        <v>758</v>
      </c>
      <c r="B42" s="213" t="s">
        <v>203</v>
      </c>
      <c r="C42" s="214" t="s">
        <v>747</v>
      </c>
      <c r="D42" s="213" t="s">
        <v>748</v>
      </c>
      <c r="E42" s="214" t="s">
        <v>617</v>
      </c>
      <c r="F42" s="213" t="s">
        <v>749</v>
      </c>
      <c r="G42" s="214" t="s">
        <v>750</v>
      </c>
      <c r="H42" s="213" t="s">
        <v>751</v>
      </c>
      <c r="I42" s="214" t="s">
        <v>752</v>
      </c>
      <c r="J42" s="213" t="s">
        <v>753</v>
      </c>
      <c r="K42" s="215" t="s">
        <v>754</v>
      </c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</row>
    <row r="43" spans="1:23" ht="15.75">
      <c r="A43" s="225" t="s">
        <v>759</v>
      </c>
      <c r="B43" s="226">
        <v>0</v>
      </c>
      <c r="C43" s="226">
        <f aca="true" t="shared" si="2" ref="C43:K43">B43+B44-B45</f>
        <v>910285714.2857143</v>
      </c>
      <c r="D43" s="226">
        <f t="shared" si="2"/>
        <v>758571428.5714285</v>
      </c>
      <c r="E43" s="226">
        <f t="shared" si="2"/>
        <v>606857142.8571428</v>
      </c>
      <c r="F43" s="226">
        <f t="shared" si="2"/>
        <v>455142857.1428571</v>
      </c>
      <c r="G43" s="226">
        <f t="shared" si="2"/>
        <v>303428571.42857134</v>
      </c>
      <c r="H43" s="226">
        <f t="shared" si="2"/>
        <v>151714285.71428564</v>
      </c>
      <c r="I43" s="226">
        <f t="shared" si="2"/>
        <v>0</v>
      </c>
      <c r="J43" s="226">
        <f t="shared" si="2"/>
        <v>0</v>
      </c>
      <c r="K43" s="227">
        <f t="shared" si="2"/>
        <v>0</v>
      </c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</row>
    <row r="44" spans="1:23" ht="15.75">
      <c r="A44" s="225" t="s">
        <v>760</v>
      </c>
      <c r="B44" s="226">
        <f>B15*B18*B33*1.18</f>
        <v>1062000000</v>
      </c>
      <c r="C44" s="226">
        <v>0</v>
      </c>
      <c r="D44" s="226">
        <v>0</v>
      </c>
      <c r="E44" s="226">
        <v>0</v>
      </c>
      <c r="F44" s="226">
        <v>0</v>
      </c>
      <c r="G44" s="226">
        <v>0</v>
      </c>
      <c r="H44" s="226">
        <v>0</v>
      </c>
      <c r="I44" s="226">
        <v>0</v>
      </c>
      <c r="J44" s="226">
        <v>0</v>
      </c>
      <c r="K44" s="227">
        <v>0</v>
      </c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</row>
    <row r="45" spans="1:23" ht="15.75">
      <c r="A45" s="216" t="s">
        <v>761</v>
      </c>
      <c r="B45" s="226">
        <f>$B$44/$B$30</f>
        <v>151714285.7142857</v>
      </c>
      <c r="C45" s="226">
        <f aca="true" t="shared" si="3" ref="C45:K45">IF(ROUND(C43,1)=0,0,B45+C44/$B$30)</f>
        <v>151714285.7142857</v>
      </c>
      <c r="D45" s="226">
        <f t="shared" si="3"/>
        <v>151714285.7142857</v>
      </c>
      <c r="E45" s="226">
        <f t="shared" si="3"/>
        <v>151714285.7142857</v>
      </c>
      <c r="F45" s="226">
        <f t="shared" si="3"/>
        <v>151714285.7142857</v>
      </c>
      <c r="G45" s="226">
        <f t="shared" si="3"/>
        <v>151714285.7142857</v>
      </c>
      <c r="H45" s="226">
        <f t="shared" si="3"/>
        <v>151714285.7142857</v>
      </c>
      <c r="I45" s="226">
        <f t="shared" si="3"/>
        <v>0</v>
      </c>
      <c r="J45" s="226">
        <f t="shared" si="3"/>
        <v>0</v>
      </c>
      <c r="K45" s="227">
        <f t="shared" si="3"/>
        <v>0</v>
      </c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</row>
    <row r="46" spans="1:23" ht="15.75">
      <c r="A46" s="219" t="s">
        <v>762</v>
      </c>
      <c r="B46" s="228">
        <f aca="true" t="shared" si="4" ref="B46:K46">AVERAGE(SUM(B43:B44),(SUM(B43:B44)-B45))*$B$32</f>
        <v>147921428.57142857</v>
      </c>
      <c r="C46" s="228">
        <f t="shared" si="4"/>
        <v>125164285.71428572</v>
      </c>
      <c r="D46" s="228">
        <f t="shared" si="4"/>
        <v>102407142.85714284</v>
      </c>
      <c r="E46" s="228">
        <f t="shared" si="4"/>
        <v>79649999.99999999</v>
      </c>
      <c r="F46" s="228">
        <f t="shared" si="4"/>
        <v>56892857.14285713</v>
      </c>
      <c r="G46" s="228">
        <f t="shared" si="4"/>
        <v>34135714.28571427</v>
      </c>
      <c r="H46" s="228">
        <f t="shared" si="4"/>
        <v>11378571.428571418</v>
      </c>
      <c r="I46" s="228">
        <f t="shared" si="4"/>
        <v>0</v>
      </c>
      <c r="J46" s="228">
        <f t="shared" si="4"/>
        <v>0</v>
      </c>
      <c r="K46" s="229">
        <f t="shared" si="4"/>
        <v>0</v>
      </c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</row>
    <row r="47" spans="1:23" ht="15.75">
      <c r="A47" s="230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</row>
    <row r="48" spans="1:11" s="234" customFormat="1" ht="31.5">
      <c r="A48" s="223" t="s">
        <v>763</v>
      </c>
      <c r="B48" s="232" t="str">
        <f aca="true" t="shared" si="5" ref="B48:J48">B37</f>
        <v>N</v>
      </c>
      <c r="C48" s="232" t="str">
        <f t="shared" si="5"/>
        <v>N+1</v>
      </c>
      <c r="D48" s="232" t="str">
        <f t="shared" si="5"/>
        <v>N+2</v>
      </c>
      <c r="E48" s="232" t="str">
        <f t="shared" si="5"/>
        <v>…</v>
      </c>
      <c r="F48" s="232" t="str">
        <f t="shared" si="5"/>
        <v>N+4</v>
      </c>
      <c r="G48" s="232" t="str">
        <f t="shared" si="5"/>
        <v>N+5</v>
      </c>
      <c r="H48" s="232" t="str">
        <f t="shared" si="5"/>
        <v>N+6</v>
      </c>
      <c r="I48" s="232" t="str">
        <f t="shared" si="5"/>
        <v>N+7</v>
      </c>
      <c r="J48" s="232" t="str">
        <f t="shared" si="5"/>
        <v>N+8</v>
      </c>
      <c r="K48" s="233" t="s">
        <v>754</v>
      </c>
    </row>
    <row r="49" spans="1:11" s="183" customFormat="1" ht="14.25">
      <c r="A49" s="235" t="s">
        <v>764</v>
      </c>
      <c r="B49" s="236">
        <f aca="true" t="shared" si="6" ref="B49:K49">B40*$B$18</f>
        <v>425000000</v>
      </c>
      <c r="C49" s="236">
        <f t="shared" si="6"/>
        <v>477530000.00000006</v>
      </c>
      <c r="D49" s="236">
        <f t="shared" si="6"/>
        <v>568745870.4800003</v>
      </c>
      <c r="E49" s="236">
        <f t="shared" si="6"/>
        <v>718028557.5761447</v>
      </c>
      <c r="F49" s="236">
        <f t="shared" si="6"/>
        <v>960884181.1956315</v>
      </c>
      <c r="G49" s="236">
        <f t="shared" si="6"/>
        <v>1363032575.6904612</v>
      </c>
      <c r="H49" s="236">
        <f t="shared" si="6"/>
        <v>2049497024.7991095</v>
      </c>
      <c r="I49" s="236">
        <f t="shared" si="6"/>
        <v>3266586886.7327504</v>
      </c>
      <c r="J49" s="236">
        <f t="shared" si="6"/>
        <v>5518829812.889094</v>
      </c>
      <c r="K49" s="237">
        <f t="shared" si="6"/>
        <v>9883383658.024467</v>
      </c>
    </row>
    <row r="50" spans="1:11" ht="15.75">
      <c r="A50" s="225" t="s">
        <v>765</v>
      </c>
      <c r="B50" s="238">
        <f aca="true" t="shared" si="7" ref="B50:K50">SUM(B51:B56)</f>
        <v>-31865480</v>
      </c>
      <c r="C50" s="238">
        <f t="shared" si="7"/>
        <v>-31900580</v>
      </c>
      <c r="D50" s="238">
        <f t="shared" si="7"/>
        <v>-31956477.200000003</v>
      </c>
      <c r="E50" s="238">
        <f t="shared" si="7"/>
        <v>-32034419.432000004</v>
      </c>
      <c r="F50" s="238">
        <f t="shared" si="7"/>
        <v>-32135729.39792</v>
      </c>
      <c r="G50" s="238">
        <f t="shared" si="7"/>
        <v>-32261809.161795203</v>
      </c>
      <c r="H50" s="238">
        <f t="shared" si="7"/>
        <v>-32414144.911502916</v>
      </c>
      <c r="I50" s="238">
        <f t="shared" si="7"/>
        <v>-32594312.00619309</v>
      </c>
      <c r="J50" s="238">
        <f t="shared" si="7"/>
        <v>-32803980.326564677</v>
      </c>
      <c r="K50" s="239">
        <f t="shared" si="7"/>
        <v>-33044919.946158558</v>
      </c>
    </row>
    <row r="51" spans="1:11" ht="15.75">
      <c r="A51" s="240" t="s">
        <v>766</v>
      </c>
      <c r="B51" s="238">
        <f aca="true" t="shared" si="8" ref="B51:K51">-IF(B$37&lt;=$B$20,0,$B$19*(1+B$39)*$B$18)</f>
        <v>-5300000</v>
      </c>
      <c r="C51" s="238">
        <f t="shared" si="8"/>
        <v>-5618000.000000001</v>
      </c>
      <c r="D51" s="238">
        <f t="shared" si="8"/>
        <v>-5955080.000000002</v>
      </c>
      <c r="E51" s="238">
        <f t="shared" si="8"/>
        <v>-6312384.800000002</v>
      </c>
      <c r="F51" s="238">
        <f t="shared" si="8"/>
        <v>-6691127.888000002</v>
      </c>
      <c r="G51" s="238">
        <f t="shared" si="8"/>
        <v>-7092595.561280003</v>
      </c>
      <c r="H51" s="238">
        <f t="shared" si="8"/>
        <v>-7518151.294956803</v>
      </c>
      <c r="I51" s="238">
        <f t="shared" si="8"/>
        <v>-7969240.372654212</v>
      </c>
      <c r="J51" s="238">
        <f t="shared" si="8"/>
        <v>-8447394.795013465</v>
      </c>
      <c r="K51" s="239">
        <f t="shared" si="8"/>
        <v>-8954238.482714273</v>
      </c>
    </row>
    <row r="52" spans="1:11" ht="15.75">
      <c r="A52" s="240" t="str">
        <f>A22</f>
        <v>Прочие расходы при эксплуатации объекта, руб. без НДС</v>
      </c>
      <c r="B52" s="238">
        <f aca="true" t="shared" si="9" ref="B52:K52">-IF(B$37&lt;=$B$23,0,$B$22*(1+B$39)*$B$18)</f>
        <v>-477000</v>
      </c>
      <c r="C52" s="238">
        <f t="shared" si="9"/>
        <v>-505620.00000000006</v>
      </c>
      <c r="D52" s="238">
        <f t="shared" si="9"/>
        <v>-535957.2000000002</v>
      </c>
      <c r="E52" s="238">
        <f t="shared" si="9"/>
        <v>-568114.6320000001</v>
      </c>
      <c r="F52" s="238">
        <f t="shared" si="9"/>
        <v>-602201.5099200002</v>
      </c>
      <c r="G52" s="238">
        <f t="shared" si="9"/>
        <v>-638333.6005152003</v>
      </c>
      <c r="H52" s="238">
        <f t="shared" si="9"/>
        <v>-676633.6165461122</v>
      </c>
      <c r="I52" s="238">
        <f t="shared" si="9"/>
        <v>-717231.633538879</v>
      </c>
      <c r="J52" s="238">
        <f t="shared" si="9"/>
        <v>-760265.5315512118</v>
      </c>
      <c r="K52" s="239">
        <f t="shared" si="9"/>
        <v>-805881.4634442845</v>
      </c>
    </row>
    <row r="53" spans="1:11" ht="15.75">
      <c r="A53" s="240" t="s">
        <v>347</v>
      </c>
      <c r="B53" s="238">
        <f aca="true" t="shared" si="10" ref="B53:K53">-IF(B$37&lt;=$B$20,0,$B$25*(1+B$39)*$B$18)</f>
        <v>0</v>
      </c>
      <c r="C53" s="238">
        <f t="shared" si="10"/>
        <v>0</v>
      </c>
      <c r="D53" s="238">
        <f t="shared" si="10"/>
        <v>0</v>
      </c>
      <c r="E53" s="238">
        <f t="shared" si="10"/>
        <v>0</v>
      </c>
      <c r="F53" s="238">
        <f t="shared" si="10"/>
        <v>0</v>
      </c>
      <c r="G53" s="238">
        <f t="shared" si="10"/>
        <v>0</v>
      </c>
      <c r="H53" s="238">
        <f t="shared" si="10"/>
        <v>0</v>
      </c>
      <c r="I53" s="238">
        <f t="shared" si="10"/>
        <v>0</v>
      </c>
      <c r="J53" s="238">
        <f t="shared" si="10"/>
        <v>0</v>
      </c>
      <c r="K53" s="239">
        <f t="shared" si="10"/>
        <v>0</v>
      </c>
    </row>
    <row r="54" spans="1:11" ht="15.75">
      <c r="A54" s="240" t="s">
        <v>347</v>
      </c>
      <c r="B54" s="238">
        <f aca="true" t="shared" si="11" ref="B54:K54">-$B$27*(1+B$39)*$B$18*365</f>
        <v>0</v>
      </c>
      <c r="C54" s="238">
        <f t="shared" si="11"/>
        <v>0</v>
      </c>
      <c r="D54" s="238">
        <f t="shared" si="11"/>
        <v>0</v>
      </c>
      <c r="E54" s="238">
        <f t="shared" si="11"/>
        <v>0</v>
      </c>
      <c r="F54" s="238">
        <f t="shared" si="11"/>
        <v>0</v>
      </c>
      <c r="G54" s="238">
        <f t="shared" si="11"/>
        <v>0</v>
      </c>
      <c r="H54" s="238">
        <f t="shared" si="11"/>
        <v>0</v>
      </c>
      <c r="I54" s="238">
        <f t="shared" si="11"/>
        <v>0</v>
      </c>
      <c r="J54" s="238">
        <f t="shared" si="11"/>
        <v>0</v>
      </c>
      <c r="K54" s="239">
        <f t="shared" si="11"/>
        <v>0</v>
      </c>
    </row>
    <row r="55" spans="1:11" ht="15.75">
      <c r="A55" s="240" t="s">
        <v>347</v>
      </c>
      <c r="B55" s="238">
        <f aca="true" t="shared" si="12" ref="B55:K55">-$B$28*(1+B$39)*12</f>
        <v>0</v>
      </c>
      <c r="C55" s="238">
        <f t="shared" si="12"/>
        <v>0</v>
      </c>
      <c r="D55" s="238">
        <f t="shared" si="12"/>
        <v>0</v>
      </c>
      <c r="E55" s="238">
        <f t="shared" si="12"/>
        <v>0</v>
      </c>
      <c r="F55" s="238">
        <f t="shared" si="12"/>
        <v>0</v>
      </c>
      <c r="G55" s="238">
        <f t="shared" si="12"/>
        <v>0</v>
      </c>
      <c r="H55" s="238">
        <f t="shared" si="12"/>
        <v>0</v>
      </c>
      <c r="I55" s="238">
        <f t="shared" si="12"/>
        <v>0</v>
      </c>
      <c r="J55" s="238">
        <f t="shared" si="12"/>
        <v>0</v>
      </c>
      <c r="K55" s="239">
        <f t="shared" si="12"/>
        <v>0</v>
      </c>
    </row>
    <row r="56" spans="1:11" ht="15.75">
      <c r="A56" s="240" t="s">
        <v>767</v>
      </c>
      <c r="B56" s="238">
        <f>-(($B$15+$B$16)*$B$18+($B$15+$B$16)*$B$18+SUM($B$58:B58))/2*0.022</f>
        <v>-26088480</v>
      </c>
      <c r="C56" s="238">
        <f>-(($B$15+$B$16)*$B$18+($B$15+$B$16)*$B$18+SUM($B$58:C58))/2*0.022</f>
        <v>-25776960</v>
      </c>
      <c r="D56" s="238">
        <f>-(($B$15+$B$16)*$B$18+($B$15+$B$16)*$B$18+SUM($B$58:D58))/2*0.022</f>
        <v>-25465440</v>
      </c>
      <c r="E56" s="238">
        <f>-(($B$15+$B$16)*$B$18+($B$15+$B$16)*$B$18+SUM($B$58:E58))/2*0.022</f>
        <v>-25153920</v>
      </c>
      <c r="F56" s="238">
        <f>-(($B$15+$B$16)*$B$18+($B$15+$B$16)*$B$18+SUM($B$58:F58))/2*0.022</f>
        <v>-24842400</v>
      </c>
      <c r="G56" s="238">
        <f>-(($B$15+$B$16)*$B$18+($B$15+$B$16)*$B$18+SUM($B$58:G58))/2*0.022</f>
        <v>-24530880</v>
      </c>
      <c r="H56" s="238">
        <f>-(($B$15+$B$16)*$B$18+($B$15+$B$16)*$B$18+SUM($B$58:H58))/2*0.022</f>
        <v>-24219360</v>
      </c>
      <c r="I56" s="238">
        <f>-(($B$15+$B$16)*$B$18+($B$15+$B$16)*$B$18+SUM($B$58:I58))/2*0.022</f>
        <v>-23907840</v>
      </c>
      <c r="J56" s="238">
        <f>-(($B$15+$B$16)*$B$18+($B$15+$B$16)*$B$18+SUM($B$58:J58))/2*0.022</f>
        <v>-23596320</v>
      </c>
      <c r="K56" s="239">
        <f>-(($B$15+$B$16)*$B$18+($B$15+$B$16)*$B$18+SUM($B$58:K58))/2*0.022</f>
        <v>-23284800</v>
      </c>
    </row>
    <row r="57" spans="1:11" s="183" customFormat="1" ht="14.25">
      <c r="A57" s="241" t="s">
        <v>768</v>
      </c>
      <c r="B57" s="236">
        <f aca="true" t="shared" si="13" ref="B57:K57">B49+B50</f>
        <v>393134520</v>
      </c>
      <c r="C57" s="236">
        <f t="shared" si="13"/>
        <v>445629420.00000006</v>
      </c>
      <c r="D57" s="236">
        <f t="shared" si="13"/>
        <v>536789393.28000027</v>
      </c>
      <c r="E57" s="236">
        <f t="shared" si="13"/>
        <v>685994138.1441447</v>
      </c>
      <c r="F57" s="236">
        <f t="shared" si="13"/>
        <v>928748451.7977115</v>
      </c>
      <c r="G57" s="236">
        <f t="shared" si="13"/>
        <v>1330770766.528666</v>
      </c>
      <c r="H57" s="236">
        <f t="shared" si="13"/>
        <v>2017082879.8876066</v>
      </c>
      <c r="I57" s="236">
        <f t="shared" si="13"/>
        <v>3233992574.7265573</v>
      </c>
      <c r="J57" s="236">
        <f t="shared" si="13"/>
        <v>5486025832.56253</v>
      </c>
      <c r="K57" s="237">
        <f t="shared" si="13"/>
        <v>9850338738.078308</v>
      </c>
    </row>
    <row r="58" spans="1:11" ht="15.75">
      <c r="A58" s="240" t="s">
        <v>769</v>
      </c>
      <c r="B58" s="238">
        <f>-(B15+B16)*1.18*B18/B17</f>
        <v>-28320000</v>
      </c>
      <c r="C58" s="238">
        <f aca="true" t="shared" si="14" ref="C58:K58">B58</f>
        <v>-28320000</v>
      </c>
      <c r="D58" s="238">
        <f t="shared" si="14"/>
        <v>-28320000</v>
      </c>
      <c r="E58" s="238">
        <f t="shared" si="14"/>
        <v>-28320000</v>
      </c>
      <c r="F58" s="238">
        <f t="shared" si="14"/>
        <v>-28320000</v>
      </c>
      <c r="G58" s="238">
        <f t="shared" si="14"/>
        <v>-28320000</v>
      </c>
      <c r="H58" s="238">
        <f t="shared" si="14"/>
        <v>-28320000</v>
      </c>
      <c r="I58" s="238">
        <f t="shared" si="14"/>
        <v>-28320000</v>
      </c>
      <c r="J58" s="238">
        <f t="shared" si="14"/>
        <v>-28320000</v>
      </c>
      <c r="K58" s="239">
        <f t="shared" si="14"/>
        <v>-28320000</v>
      </c>
    </row>
    <row r="59" spans="1:11" s="183" customFormat="1" ht="14.25">
      <c r="A59" s="241" t="s">
        <v>770</v>
      </c>
      <c r="B59" s="236">
        <f aca="true" t="shared" si="15" ref="B59:K59">B57+B58</f>
        <v>364814520</v>
      </c>
      <c r="C59" s="236">
        <f t="shared" si="15"/>
        <v>417309420.00000006</v>
      </c>
      <c r="D59" s="236">
        <f t="shared" si="15"/>
        <v>508469393.28000027</v>
      </c>
      <c r="E59" s="236">
        <f t="shared" si="15"/>
        <v>657674138.1441447</v>
      </c>
      <c r="F59" s="236">
        <f t="shared" si="15"/>
        <v>900428451.7977115</v>
      </c>
      <c r="G59" s="236">
        <f t="shared" si="15"/>
        <v>1302450766.528666</v>
      </c>
      <c r="H59" s="236">
        <f t="shared" si="15"/>
        <v>1988762879.8876066</v>
      </c>
      <c r="I59" s="236">
        <f t="shared" si="15"/>
        <v>3205672574.7265573</v>
      </c>
      <c r="J59" s="236">
        <f t="shared" si="15"/>
        <v>5457705832.56253</v>
      </c>
      <c r="K59" s="237">
        <f t="shared" si="15"/>
        <v>9822018738.078308</v>
      </c>
    </row>
    <row r="60" spans="1:11" ht="15.75">
      <c r="A60" s="240" t="s">
        <v>771</v>
      </c>
      <c r="B60" s="238">
        <f aca="true" t="shared" si="16" ref="B60:K60">-B46</f>
        <v>-147921428.57142857</v>
      </c>
      <c r="C60" s="238">
        <f t="shared" si="16"/>
        <v>-125164285.71428572</v>
      </c>
      <c r="D60" s="238">
        <f t="shared" si="16"/>
        <v>-102407142.85714284</v>
      </c>
      <c r="E60" s="238">
        <f t="shared" si="16"/>
        <v>-79649999.99999999</v>
      </c>
      <c r="F60" s="238">
        <f t="shared" si="16"/>
        <v>-56892857.14285713</v>
      </c>
      <c r="G60" s="238">
        <f t="shared" si="16"/>
        <v>-34135714.28571427</v>
      </c>
      <c r="H60" s="238">
        <f t="shared" si="16"/>
        <v>-11378571.428571418</v>
      </c>
      <c r="I60" s="238">
        <f t="shared" si="16"/>
        <v>0</v>
      </c>
      <c r="J60" s="238">
        <f t="shared" si="16"/>
        <v>0</v>
      </c>
      <c r="K60" s="239">
        <f t="shared" si="16"/>
        <v>0</v>
      </c>
    </row>
    <row r="61" spans="1:11" s="183" customFormat="1" ht="14.25">
      <c r="A61" s="241" t="s">
        <v>772</v>
      </c>
      <c r="B61" s="236">
        <f aca="true" t="shared" si="17" ref="B61:K61">B59+B60</f>
        <v>216893091.42857143</v>
      </c>
      <c r="C61" s="236">
        <f t="shared" si="17"/>
        <v>292145134.2857143</v>
      </c>
      <c r="D61" s="236">
        <f t="shared" si="17"/>
        <v>406062250.4228574</v>
      </c>
      <c r="E61" s="236">
        <f t="shared" si="17"/>
        <v>578024138.1441447</v>
      </c>
      <c r="F61" s="236">
        <f t="shared" si="17"/>
        <v>843535594.6548544</v>
      </c>
      <c r="G61" s="236">
        <f t="shared" si="17"/>
        <v>1268315052.2429519</v>
      </c>
      <c r="H61" s="236">
        <f t="shared" si="17"/>
        <v>1977384308.4590352</v>
      </c>
      <c r="I61" s="236">
        <f t="shared" si="17"/>
        <v>3205672574.7265573</v>
      </c>
      <c r="J61" s="236">
        <f t="shared" si="17"/>
        <v>5457705832.56253</v>
      </c>
      <c r="K61" s="237">
        <f t="shared" si="17"/>
        <v>9822018738.078308</v>
      </c>
    </row>
    <row r="62" spans="1:11" ht="15.75">
      <c r="A62" s="240" t="s">
        <v>736</v>
      </c>
      <c r="B62" s="238">
        <f aca="true" t="shared" si="18" ref="B62:K62">-B61*$B$26</f>
        <v>-43378618.28571429</v>
      </c>
      <c r="C62" s="238">
        <f t="shared" si="18"/>
        <v>-58429026.857142866</v>
      </c>
      <c r="D62" s="238">
        <f t="shared" si="18"/>
        <v>-81212450.08457148</v>
      </c>
      <c r="E62" s="238">
        <f t="shared" si="18"/>
        <v>-115604827.62882894</v>
      </c>
      <c r="F62" s="238">
        <f t="shared" si="18"/>
        <v>-168707118.9309709</v>
      </c>
      <c r="G62" s="238">
        <f t="shared" si="18"/>
        <v>-253663010.4485904</v>
      </c>
      <c r="H62" s="238">
        <f t="shared" si="18"/>
        <v>-395476861.69180703</v>
      </c>
      <c r="I62" s="238">
        <f t="shared" si="18"/>
        <v>-641134514.9453114</v>
      </c>
      <c r="J62" s="238">
        <f t="shared" si="18"/>
        <v>-1091541166.512506</v>
      </c>
      <c r="K62" s="239">
        <f t="shared" si="18"/>
        <v>-1964403747.6156616</v>
      </c>
    </row>
    <row r="63" spans="1:11" ht="15.75">
      <c r="A63" s="242" t="s">
        <v>773</v>
      </c>
      <c r="B63" s="243">
        <f aca="true" t="shared" si="19" ref="B63:K63">B61+B62</f>
        <v>173514473.14285713</v>
      </c>
      <c r="C63" s="243">
        <f t="shared" si="19"/>
        <v>233716107.42857146</v>
      </c>
      <c r="D63" s="243">
        <f t="shared" si="19"/>
        <v>324849800.3382859</v>
      </c>
      <c r="E63" s="243">
        <f t="shared" si="19"/>
        <v>462419310.5153157</v>
      </c>
      <c r="F63" s="243">
        <f t="shared" si="19"/>
        <v>674828475.7238835</v>
      </c>
      <c r="G63" s="243">
        <f t="shared" si="19"/>
        <v>1014652041.7943615</v>
      </c>
      <c r="H63" s="243">
        <f t="shared" si="19"/>
        <v>1581907446.7672281</v>
      </c>
      <c r="I63" s="243">
        <f t="shared" si="19"/>
        <v>2564538059.7812457</v>
      </c>
      <c r="J63" s="243">
        <f t="shared" si="19"/>
        <v>4366164666.050024</v>
      </c>
      <c r="K63" s="244">
        <f t="shared" si="19"/>
        <v>7857614990.4626465</v>
      </c>
    </row>
    <row r="64" spans="1:23" ht="15.75">
      <c r="A64" s="234"/>
      <c r="B64" s="245">
        <v>0.5</v>
      </c>
      <c r="C64" s="245" t="e">
        <f aca="true" t="shared" si="20" ref="C64:K64">AVERAGE(B48:C48)</f>
        <v>#DIV/0!</v>
      </c>
      <c r="D64" s="245" t="e">
        <f t="shared" si="20"/>
        <v>#DIV/0!</v>
      </c>
      <c r="E64" s="245" t="e">
        <f t="shared" si="20"/>
        <v>#DIV/0!</v>
      </c>
      <c r="F64" s="245" t="e">
        <f t="shared" si="20"/>
        <v>#DIV/0!</v>
      </c>
      <c r="G64" s="245" t="e">
        <f t="shared" si="20"/>
        <v>#DIV/0!</v>
      </c>
      <c r="H64" s="245" t="e">
        <f t="shared" si="20"/>
        <v>#DIV/0!</v>
      </c>
      <c r="I64" s="245" t="e">
        <f t="shared" si="20"/>
        <v>#DIV/0!</v>
      </c>
      <c r="J64" s="245" t="e">
        <f t="shared" si="20"/>
        <v>#DIV/0!</v>
      </c>
      <c r="K64" s="245" t="e">
        <f t="shared" si="20"/>
        <v>#DIV/0!</v>
      </c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</row>
    <row r="65" spans="1:23" ht="31.5">
      <c r="A65" s="223" t="s">
        <v>774</v>
      </c>
      <c r="B65" s="232" t="str">
        <f aca="true" t="shared" si="21" ref="B65:J65">B48</f>
        <v>N</v>
      </c>
      <c r="C65" s="232" t="str">
        <f t="shared" si="21"/>
        <v>N+1</v>
      </c>
      <c r="D65" s="232" t="str">
        <f t="shared" si="21"/>
        <v>N+2</v>
      </c>
      <c r="E65" s="232" t="str">
        <f t="shared" si="21"/>
        <v>…</v>
      </c>
      <c r="F65" s="232" t="str">
        <f t="shared" si="21"/>
        <v>N+4</v>
      </c>
      <c r="G65" s="232" t="str">
        <f t="shared" si="21"/>
        <v>N+5</v>
      </c>
      <c r="H65" s="232" t="str">
        <f t="shared" si="21"/>
        <v>N+6</v>
      </c>
      <c r="I65" s="232" t="str">
        <f t="shared" si="21"/>
        <v>N+7</v>
      </c>
      <c r="J65" s="232" t="str">
        <f t="shared" si="21"/>
        <v>N+8</v>
      </c>
      <c r="K65" s="233" t="s">
        <v>754</v>
      </c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</row>
    <row r="66" spans="1:23" s="183" customFormat="1" ht="14.25">
      <c r="A66" s="235" t="s">
        <v>770</v>
      </c>
      <c r="B66" s="236">
        <f aca="true" t="shared" si="22" ref="B66:K66">B59</f>
        <v>364814520</v>
      </c>
      <c r="C66" s="236">
        <f t="shared" si="22"/>
        <v>417309420.00000006</v>
      </c>
      <c r="D66" s="236">
        <f t="shared" si="22"/>
        <v>508469393.28000027</v>
      </c>
      <c r="E66" s="236">
        <f t="shared" si="22"/>
        <v>657674138.1441447</v>
      </c>
      <c r="F66" s="236">
        <f t="shared" si="22"/>
        <v>900428451.7977115</v>
      </c>
      <c r="G66" s="236">
        <f t="shared" si="22"/>
        <v>1302450766.528666</v>
      </c>
      <c r="H66" s="236">
        <f t="shared" si="22"/>
        <v>1988762879.8876066</v>
      </c>
      <c r="I66" s="236">
        <f t="shared" si="22"/>
        <v>3205672574.7265573</v>
      </c>
      <c r="J66" s="236">
        <f t="shared" si="22"/>
        <v>5457705832.56253</v>
      </c>
      <c r="K66" s="237">
        <f t="shared" si="22"/>
        <v>9822018738.078308</v>
      </c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</row>
    <row r="67" spans="1:23" ht="15.75">
      <c r="A67" s="240" t="s">
        <v>769</v>
      </c>
      <c r="B67" s="238">
        <f aca="true" t="shared" si="23" ref="B67:K67">-B58</f>
        <v>28320000</v>
      </c>
      <c r="C67" s="238">
        <f t="shared" si="23"/>
        <v>28320000</v>
      </c>
      <c r="D67" s="238">
        <f t="shared" si="23"/>
        <v>28320000</v>
      </c>
      <c r="E67" s="238">
        <f t="shared" si="23"/>
        <v>28320000</v>
      </c>
      <c r="F67" s="238">
        <f t="shared" si="23"/>
        <v>28320000</v>
      </c>
      <c r="G67" s="238">
        <f t="shared" si="23"/>
        <v>28320000</v>
      </c>
      <c r="H67" s="238">
        <f t="shared" si="23"/>
        <v>28320000</v>
      </c>
      <c r="I67" s="238">
        <f t="shared" si="23"/>
        <v>28320000</v>
      </c>
      <c r="J67" s="238">
        <f t="shared" si="23"/>
        <v>28320000</v>
      </c>
      <c r="K67" s="239">
        <f t="shared" si="23"/>
        <v>28320000</v>
      </c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</row>
    <row r="68" spans="1:23" ht="15.75">
      <c r="A68" s="240" t="s">
        <v>771</v>
      </c>
      <c r="B68" s="238">
        <f aca="true" t="shared" si="24" ref="B68:K68">B60</f>
        <v>-147921428.57142857</v>
      </c>
      <c r="C68" s="238">
        <f t="shared" si="24"/>
        <v>-125164285.71428572</v>
      </c>
      <c r="D68" s="238">
        <f t="shared" si="24"/>
        <v>-102407142.85714284</v>
      </c>
      <c r="E68" s="238">
        <f t="shared" si="24"/>
        <v>-79649999.99999999</v>
      </c>
      <c r="F68" s="238">
        <f t="shared" si="24"/>
        <v>-56892857.14285713</v>
      </c>
      <c r="G68" s="238">
        <f t="shared" si="24"/>
        <v>-34135714.28571427</v>
      </c>
      <c r="H68" s="238">
        <f t="shared" si="24"/>
        <v>-11378571.428571418</v>
      </c>
      <c r="I68" s="238">
        <f t="shared" si="24"/>
        <v>0</v>
      </c>
      <c r="J68" s="238">
        <f t="shared" si="24"/>
        <v>0</v>
      </c>
      <c r="K68" s="239">
        <f t="shared" si="24"/>
        <v>0</v>
      </c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</row>
    <row r="69" spans="1:23" ht="15.75">
      <c r="A69" s="240" t="s">
        <v>736</v>
      </c>
      <c r="B69" s="238">
        <f>IF(SUM($B$62:B62)+SUM($A$69:A69)&gt;0,0,SUM($B$62:B62)-SUM($A$69:A69))</f>
        <v>-43378618.28571429</v>
      </c>
      <c r="C69" s="238">
        <f>IF(SUM($B$62:C62)+SUM($A$69:B69)&gt;0,0,SUM($B$62:C62)-SUM($A$69:B69))</f>
        <v>-58429026.85714287</v>
      </c>
      <c r="D69" s="238">
        <f>IF(SUM($B$62:D62)+SUM($A$69:C69)&gt;0,0,SUM($B$62:D62)-SUM($A$69:C69))</f>
        <v>-81212450.08457148</v>
      </c>
      <c r="E69" s="238">
        <f>IF(SUM($B$62:E62)+SUM($A$69:D69)&gt;0,0,SUM($B$62:E62)-SUM($A$69:D69))</f>
        <v>-115604827.62882891</v>
      </c>
      <c r="F69" s="238">
        <f>IF(SUM($B$62:F62)+SUM($A$69:E69)&gt;0,0,SUM($B$62:F62)-SUM($A$69:E69))</f>
        <v>-168707118.9309709</v>
      </c>
      <c r="G69" s="238">
        <f>IF(SUM($B$62:G62)+SUM($A$69:F69)&gt;0,0,SUM($B$62:G62)-SUM($A$69:F69))</f>
        <v>-253663010.4485904</v>
      </c>
      <c r="H69" s="238">
        <f>IF(SUM($B$62:H62)+SUM($A$69:G69)&gt;0,0,SUM($B$62:H62)-SUM($A$69:G69))</f>
        <v>-395476861.69180703</v>
      </c>
      <c r="I69" s="238">
        <f>IF(SUM($B$62:I62)+SUM($A$69:H69)&gt;0,0,SUM($B$62:I62)-SUM($A$69:H69))</f>
        <v>-641134514.9453113</v>
      </c>
      <c r="J69" s="238">
        <f>IF(SUM($B$62:J62)+SUM($A$69:I69)&gt;0,0,SUM($B$62:J62)-SUM($A$69:I69))</f>
        <v>-1091541166.512506</v>
      </c>
      <c r="K69" s="239">
        <f>IF(SUM($B$62:K62)+SUM($A$69:J69)&gt;0,0,SUM($B$62:K62)-SUM($A$69:J69))</f>
        <v>-1964403747.6156611</v>
      </c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</row>
    <row r="70" spans="1:23" ht="15.75">
      <c r="A70" s="240" t="s">
        <v>775</v>
      </c>
      <c r="B70" s="247">
        <f>IF(((SUM($B$49:B49)+SUM($B$51:B55))+SUM($B$72:B72))&lt;0,((SUM($B$49:B49)+SUM($B$51:B55))+SUM($B$72:B72))*0.18-SUM($A$70:A70),IF(SUM(A$70:$B70)&lt;0,0-SUM(A$70:$B70),0))</f>
        <v>-140539860</v>
      </c>
      <c r="C70" s="247">
        <f>IF(((SUM($B$49:C49)+SUM($B$51:C55))+SUM($B$72:C72))&lt;0,((SUM($B$49:C49)+SUM($B$51:C55))+SUM($B$72:C72))*0.18-SUM($A$70:B70),IF(SUM($B$70:B70)&lt;0,0-SUM($B$70:B70),0))</f>
        <v>84853148.4</v>
      </c>
      <c r="D70" s="247">
        <f>IF(((SUM($B$49:D49)+SUM($B$51:D55))+SUM($B$72:D72))&lt;0,((SUM($B$49:D49)+SUM($B$51:D55))+SUM($B$72:D72))*0.18-SUM($A$70:C70),IF(SUM($B$70:C70)&lt;0,0-SUM($B$70:C70),0))</f>
        <v>55686711.599999994</v>
      </c>
      <c r="E70" s="247">
        <f>IF(((SUM($B$49:E49)+SUM($B$51:E55))+SUM($B$72:E72))&lt;0,((SUM($B$49:E49)+SUM($B$51:E55))+SUM($B$72:E72))*0.18-SUM($A$70:D70),IF(SUM($B$70:D70)&lt;0,0-SUM($B$70:D70),0))</f>
        <v>0</v>
      </c>
      <c r="F70" s="247">
        <f>IF(((SUM($B$49:F49)+SUM($B$51:F55))+SUM($B$72:F72))&lt;0,((SUM($B$49:F49)+SUM($B$51:F55))+SUM($B$72:F72))*0.18-SUM($A$70:E70),IF(SUM($B$70:E70)&lt;0,0-SUM($B$70:E70),0))</f>
        <v>0</v>
      </c>
      <c r="G70" s="247">
        <f>IF(((SUM($B$49:G49)+SUM($B$51:G55))+SUM($B$72:G72))&lt;0,((SUM($B$49:G49)+SUM($B$51:G55))+SUM($B$72:G72))*0.18-SUM($A$70:F70),IF(SUM($B$70:F70)&lt;0,0-SUM($B$70:F70),0))</f>
        <v>0</v>
      </c>
      <c r="H70" s="247">
        <f>IF(((SUM($B$49:H49)+SUM($B$51:H55))+SUM($B$72:H72))&lt;0,((SUM($B$49:H49)+SUM($B$51:H55))+SUM($B$72:H72))*0.18-SUM($A$70:G70),IF(SUM($B$70:G70)&lt;0,0-SUM($B$70:G70),0))</f>
        <v>0</v>
      </c>
      <c r="I70" s="247">
        <f>IF(((SUM($B$49:I49)+SUM($B$51:I55))+SUM($B$72:I72))&lt;0,((SUM($B$49:I49)+SUM($B$51:I55))+SUM($B$72:I72))*0.18-SUM($A$70:H70),IF(SUM($B$70:H70)&lt;0,0-SUM($B$70:H70),0))</f>
        <v>0</v>
      </c>
      <c r="J70" s="247">
        <f>IF(((SUM($B$49:J49)+SUM($B$51:J55))+SUM($B$72:J72))&lt;0,((SUM($B$49:J49)+SUM($B$51:J55))+SUM($B$72:J72))*0.18-SUM($A$70:I70),IF(SUM($B$70:I70)&lt;0,0-SUM($B$70:I70),0))</f>
        <v>0</v>
      </c>
      <c r="K70" s="248">
        <f>IF(((SUM($B$49:K49)+SUM($B$51:K55))+SUM($B$72:K72))&lt;0,((SUM($B$49:K49)+SUM($B$51:K55))+SUM($B$72:K72))*0.18-SUM($A$70:J70),IF(SUM($B$70:J70)&lt;0,0-SUM($B$70:J70),0))</f>
        <v>0</v>
      </c>
      <c r="L70" s="249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</row>
    <row r="71" spans="1:23" ht="15.75">
      <c r="A71" s="240" t="s">
        <v>776</v>
      </c>
      <c r="B71" s="238">
        <f>-B49*(B29)</f>
        <v>-42500000</v>
      </c>
      <c r="C71" s="238">
        <f aca="true" t="shared" si="25" ref="C71:K71">-(C49-B49)*$B$29</f>
        <v>-5253000.0000000065</v>
      </c>
      <c r="D71" s="238">
        <f t="shared" si="25"/>
        <v>-9121587.04800002</v>
      </c>
      <c r="E71" s="238">
        <f t="shared" si="25"/>
        <v>-14928268.709614445</v>
      </c>
      <c r="F71" s="238">
        <f t="shared" si="25"/>
        <v>-24285562.361948684</v>
      </c>
      <c r="G71" s="238">
        <f t="shared" si="25"/>
        <v>-40214839.44948297</v>
      </c>
      <c r="H71" s="238">
        <f t="shared" si="25"/>
        <v>-68646444.91086483</v>
      </c>
      <c r="I71" s="238">
        <f t="shared" si="25"/>
        <v>-121708986.1933641</v>
      </c>
      <c r="J71" s="238">
        <f t="shared" si="25"/>
        <v>-225224292.6156344</v>
      </c>
      <c r="K71" s="239">
        <f t="shared" si="25"/>
        <v>-436455384.51353735</v>
      </c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</row>
    <row r="72" spans="1:11" ht="15.75">
      <c r="A72" s="240" t="s">
        <v>777</v>
      </c>
      <c r="B72" s="238">
        <f>-($B$15+$B$16)*$B$18</f>
        <v>-1200000000</v>
      </c>
      <c r="C72" s="238">
        <v>0</v>
      </c>
      <c r="D72" s="238">
        <v>0</v>
      </c>
      <c r="E72" s="238">
        <v>0</v>
      </c>
      <c r="F72" s="238">
        <v>0</v>
      </c>
      <c r="G72" s="238">
        <v>0</v>
      </c>
      <c r="H72" s="238">
        <v>0</v>
      </c>
      <c r="I72" s="238">
        <v>0</v>
      </c>
      <c r="J72" s="238">
        <v>0</v>
      </c>
      <c r="K72" s="239">
        <v>0</v>
      </c>
    </row>
    <row r="73" spans="1:11" ht="15.75">
      <c r="A73" s="240" t="s">
        <v>778</v>
      </c>
      <c r="B73" s="238">
        <f aca="true" t="shared" si="26" ref="B73:K73">B44-B45</f>
        <v>910285714.2857143</v>
      </c>
      <c r="C73" s="238">
        <f t="shared" si="26"/>
        <v>-151714285.7142857</v>
      </c>
      <c r="D73" s="238">
        <f t="shared" si="26"/>
        <v>-151714285.7142857</v>
      </c>
      <c r="E73" s="238">
        <f t="shared" si="26"/>
        <v>-151714285.7142857</v>
      </c>
      <c r="F73" s="238">
        <f t="shared" si="26"/>
        <v>-151714285.7142857</v>
      </c>
      <c r="G73" s="238">
        <f t="shared" si="26"/>
        <v>-151714285.7142857</v>
      </c>
      <c r="H73" s="238">
        <f t="shared" si="26"/>
        <v>-151714285.7142857</v>
      </c>
      <c r="I73" s="238">
        <f t="shared" si="26"/>
        <v>0</v>
      </c>
      <c r="J73" s="238">
        <f t="shared" si="26"/>
        <v>0</v>
      </c>
      <c r="K73" s="239">
        <f t="shared" si="26"/>
        <v>0</v>
      </c>
    </row>
    <row r="74" spans="1:11" s="183" customFormat="1" ht="14.25">
      <c r="A74" s="250" t="s">
        <v>779</v>
      </c>
      <c r="B74" s="236">
        <f aca="true" t="shared" si="27" ref="B74:K74">SUM(B66:B73)</f>
        <v>-270919672.57142866</v>
      </c>
      <c r="C74" s="236">
        <f t="shared" si="27"/>
        <v>189921970.11428574</v>
      </c>
      <c r="D74" s="236">
        <f t="shared" si="27"/>
        <v>248020639.1760002</v>
      </c>
      <c r="E74" s="236">
        <f t="shared" si="27"/>
        <v>324096756.09141564</v>
      </c>
      <c r="F74" s="236">
        <f t="shared" si="27"/>
        <v>527148627.64764905</v>
      </c>
      <c r="G74" s="236">
        <f t="shared" si="27"/>
        <v>851042916.6305928</v>
      </c>
      <c r="H74" s="236">
        <f t="shared" si="27"/>
        <v>1389866716.1420777</v>
      </c>
      <c r="I74" s="236">
        <f t="shared" si="27"/>
        <v>2471149073.587882</v>
      </c>
      <c r="J74" s="236">
        <f t="shared" si="27"/>
        <v>4169260373.4343896</v>
      </c>
      <c r="K74" s="237">
        <f t="shared" si="27"/>
        <v>7449479605.949109</v>
      </c>
    </row>
    <row r="75" spans="1:11" s="183" customFormat="1" ht="14.25">
      <c r="A75" s="250" t="s">
        <v>780</v>
      </c>
      <c r="B75" s="236">
        <f>SUM($B$74:B74)</f>
        <v>-270919672.57142866</v>
      </c>
      <c r="C75" s="236">
        <f>SUM($B$74:C74)</f>
        <v>-80997702.45714292</v>
      </c>
      <c r="D75" s="236">
        <f>SUM($B$74:D74)</f>
        <v>167022936.7188573</v>
      </c>
      <c r="E75" s="236">
        <f>SUM($B$74:E74)</f>
        <v>491119692.81027293</v>
      </c>
      <c r="F75" s="236">
        <f>SUM($B$74:F74)</f>
        <v>1018268320.457922</v>
      </c>
      <c r="G75" s="236">
        <f>SUM($B$74:G74)</f>
        <v>1869311237.0885148</v>
      </c>
      <c r="H75" s="236">
        <f>SUM($B$74:H74)</f>
        <v>3259177953.2305927</v>
      </c>
      <c r="I75" s="236">
        <f>SUM($B$74:I74)</f>
        <v>5730327026.818475</v>
      </c>
      <c r="J75" s="236">
        <f>SUM($B$74:J74)</f>
        <v>9899587400.252865</v>
      </c>
      <c r="K75" s="237">
        <f>SUM($B$74:K74)</f>
        <v>17349067006.201973</v>
      </c>
    </row>
    <row r="76" spans="1:11" ht="15.75">
      <c r="A76" s="251" t="s">
        <v>781</v>
      </c>
      <c r="B76" s="252">
        <f aca="true" t="shared" si="28" ref="B76:K76">1/POWER((1+$B$34),B64)</f>
        <v>0.9428090415820635</v>
      </c>
      <c r="C76" s="252" t="e">
        <f t="shared" si="28"/>
        <v>#DIV/0!</v>
      </c>
      <c r="D76" s="252" t="e">
        <f t="shared" si="28"/>
        <v>#DIV/0!</v>
      </c>
      <c r="E76" s="252" t="e">
        <f t="shared" si="28"/>
        <v>#DIV/0!</v>
      </c>
      <c r="F76" s="252" t="e">
        <f t="shared" si="28"/>
        <v>#DIV/0!</v>
      </c>
      <c r="G76" s="252" t="e">
        <f t="shared" si="28"/>
        <v>#DIV/0!</v>
      </c>
      <c r="H76" s="252" t="e">
        <f t="shared" si="28"/>
        <v>#DIV/0!</v>
      </c>
      <c r="I76" s="252" t="e">
        <f t="shared" si="28"/>
        <v>#DIV/0!</v>
      </c>
      <c r="J76" s="252" t="e">
        <f t="shared" si="28"/>
        <v>#DIV/0!</v>
      </c>
      <c r="K76" s="253" t="e">
        <f t="shared" si="28"/>
        <v>#DIV/0!</v>
      </c>
    </row>
    <row r="77" spans="1:12" s="183" customFormat="1" ht="14.25">
      <c r="A77" s="254" t="s">
        <v>782</v>
      </c>
      <c r="B77" s="255">
        <f aca="true" t="shared" si="29" ref="B77:K77">B74*B76</f>
        <v>-255425516.8427951</v>
      </c>
      <c r="C77" s="255" t="e">
        <f t="shared" si="29"/>
        <v>#DIV/0!</v>
      </c>
      <c r="D77" s="255" t="e">
        <f t="shared" si="29"/>
        <v>#DIV/0!</v>
      </c>
      <c r="E77" s="255" t="e">
        <f t="shared" si="29"/>
        <v>#DIV/0!</v>
      </c>
      <c r="F77" s="255" t="e">
        <f t="shared" si="29"/>
        <v>#DIV/0!</v>
      </c>
      <c r="G77" s="255" t="e">
        <f t="shared" si="29"/>
        <v>#DIV/0!</v>
      </c>
      <c r="H77" s="255" t="e">
        <f t="shared" si="29"/>
        <v>#DIV/0!</v>
      </c>
      <c r="I77" s="255" t="e">
        <f t="shared" si="29"/>
        <v>#DIV/0!</v>
      </c>
      <c r="J77" s="255" t="e">
        <f t="shared" si="29"/>
        <v>#DIV/0!</v>
      </c>
      <c r="K77" s="256" t="e">
        <f t="shared" si="29"/>
        <v>#DIV/0!</v>
      </c>
      <c r="L77" s="257"/>
    </row>
    <row r="78" spans="1:11" s="183" customFormat="1" ht="14.25">
      <c r="A78" s="254" t="s">
        <v>783</v>
      </c>
      <c r="B78" s="255">
        <f>SUM($B$77:B77)</f>
        <v>-255425516.8427951</v>
      </c>
      <c r="C78" s="255" t="e">
        <f>SUM($B$77:C77)</f>
        <v>#DIV/0!</v>
      </c>
      <c r="D78" s="255" t="e">
        <f>SUM($B$77:D77)</f>
        <v>#DIV/0!</v>
      </c>
      <c r="E78" s="255" t="e">
        <f>SUM($B$77:E77)</f>
        <v>#DIV/0!</v>
      </c>
      <c r="F78" s="255" t="e">
        <f>SUM($B$77:F77)</f>
        <v>#DIV/0!</v>
      </c>
      <c r="G78" s="255" t="e">
        <f>SUM($B$77:G77)</f>
        <v>#DIV/0!</v>
      </c>
      <c r="H78" s="255" t="e">
        <f>SUM($B$77:H77)</f>
        <v>#DIV/0!</v>
      </c>
      <c r="I78" s="255" t="e">
        <f>SUM($B$77:I77)</f>
        <v>#DIV/0!</v>
      </c>
      <c r="J78" s="255" t="e">
        <f>SUM($B$77:J77)</f>
        <v>#DIV/0!</v>
      </c>
      <c r="K78" s="256" t="e">
        <f>SUM($B$77:K77)</f>
        <v>#DIV/0!</v>
      </c>
    </row>
    <row r="79" spans="1:11" s="183" customFormat="1" ht="14.25">
      <c r="A79" s="254" t="s">
        <v>784</v>
      </c>
      <c r="B79" s="258">
        <f>IF((ISERR(IRR($B$74:B74))),0,IF(IRR($B$74:B74)&lt;0,0,IRR($B$74:B74)))</f>
        <v>0</v>
      </c>
      <c r="C79" s="258">
        <f>IF((ISERR(IRR($B$74:C74))),0,IF(IRR($B$74:C74)&lt;0,0,IRR($B$74:C74)))</f>
        <v>0</v>
      </c>
      <c r="D79" s="258">
        <f>IF((ISERR(IRR($B$74:D74))),0,IF(IRR($B$74:D74)&lt;0,0,IRR($B$74:D74)))</f>
        <v>0.3695013330614261</v>
      </c>
      <c r="E79" s="258">
        <f>IF((ISERR(IRR($B$74:E74))),0,IF(IRR($B$74:E74)&lt;0,0,IRR($B$74:E74)))</f>
        <v>0.6744376570986408</v>
      </c>
      <c r="F79" s="258">
        <f>IF((ISERR(IRR($B$74:F74))),0,IF(IRR($B$74:F74)&lt;0,0,IRR($B$74:F74)))</f>
        <v>0.8512717247018302</v>
      </c>
      <c r="G79" s="258">
        <f>IF((ISERR(IRR($B$74:G74))),0,IF(IRR($B$74:G74)&lt;0,0,IRR($B$74:G74)))</f>
        <v>0.9561459548616058</v>
      </c>
      <c r="H79" s="258">
        <f>IF((ISERR(IRR($B$74:H74))),0,IF(IRR($B$74:H74)&lt;0,0,IRR($B$74:H74)))</f>
        <v>1.0217939293075844</v>
      </c>
      <c r="I79" s="258">
        <f>IF((ISERR(IRR($B$74:I74))),0,IF(IRR($B$74:I74)&lt;0,0,IRR($B$74:I74)))</f>
        <v>1.0678061723973742</v>
      </c>
      <c r="J79" s="258">
        <f>IF((ISERR(IRR($B$74:J74))),0,IF(IRR($B$74:J74)&lt;0,0,IRR($B$74:J74)))</f>
        <v>1.0990789492593298</v>
      </c>
      <c r="K79" s="259">
        <f>IF((ISERR(IRR($B$74:K74))),0,IF(IRR($B$74:K74)&lt;0,0,IRR($B$74:K74)))</f>
        <v>1.1220453125076766</v>
      </c>
    </row>
    <row r="80" spans="1:11" s="183" customFormat="1" ht="14.25">
      <c r="A80" s="254" t="s">
        <v>785</v>
      </c>
      <c r="B80" s="260">
        <f aca="true" t="shared" si="30" ref="B80:K80">IF(AND(B75&gt;0,A75&lt;0),(B65-(B75/(B75-A75))),0)</f>
        <v>0</v>
      </c>
      <c r="C80" s="260">
        <f t="shared" si="30"/>
        <v>0</v>
      </c>
      <c r="D80" s="260" t="e">
        <f t="shared" si="30"/>
        <v>#VALUE!</v>
      </c>
      <c r="E80" s="260">
        <f t="shared" si="30"/>
        <v>0</v>
      </c>
      <c r="F80" s="260">
        <f t="shared" si="30"/>
        <v>0</v>
      </c>
      <c r="G80" s="260">
        <f t="shared" si="30"/>
        <v>0</v>
      </c>
      <c r="H80" s="260">
        <f t="shared" si="30"/>
        <v>0</v>
      </c>
      <c r="I80" s="260">
        <f t="shared" si="30"/>
        <v>0</v>
      </c>
      <c r="J80" s="260">
        <f t="shared" si="30"/>
        <v>0</v>
      </c>
      <c r="K80" s="261">
        <f t="shared" si="30"/>
        <v>0</v>
      </c>
    </row>
    <row r="81" spans="1:11" s="183" customFormat="1" ht="14.25">
      <c r="A81" s="262" t="s">
        <v>786</v>
      </c>
      <c r="B81" s="263">
        <f aca="true" t="shared" si="31" ref="B81:K81">IF(AND(B78&gt;0,A78&lt;0),(B65-(B78/(B78-A78))),0)</f>
        <v>0</v>
      </c>
      <c r="C81" s="263" t="e">
        <f t="shared" si="31"/>
        <v>#DIV/0!</v>
      </c>
      <c r="D81" s="263" t="e">
        <f t="shared" si="31"/>
        <v>#DIV/0!</v>
      </c>
      <c r="E81" s="263" t="e">
        <f t="shared" si="31"/>
        <v>#DIV/0!</v>
      </c>
      <c r="F81" s="263" t="e">
        <f t="shared" si="31"/>
        <v>#DIV/0!</v>
      </c>
      <c r="G81" s="263" t="e">
        <f t="shared" si="31"/>
        <v>#DIV/0!</v>
      </c>
      <c r="H81" s="263" t="e">
        <f t="shared" si="31"/>
        <v>#DIV/0!</v>
      </c>
      <c r="I81" s="263" t="e">
        <f t="shared" si="31"/>
        <v>#DIV/0!</v>
      </c>
      <c r="J81" s="263" t="e">
        <f t="shared" si="31"/>
        <v>#DIV/0!</v>
      </c>
      <c r="K81" s="264" t="e">
        <f t="shared" si="31"/>
        <v>#DIV/0!</v>
      </c>
    </row>
    <row r="83" spans="1:11" ht="64.5" customHeight="1">
      <c r="A83" s="701" t="s">
        <v>787</v>
      </c>
      <c r="B83" s="701"/>
      <c r="C83" s="701"/>
      <c r="D83" s="701"/>
      <c r="E83" s="701"/>
      <c r="F83" s="701"/>
      <c r="G83" s="701"/>
      <c r="H83" s="701"/>
      <c r="I83" s="701"/>
      <c r="J83" s="701"/>
      <c r="K83" s="701"/>
    </row>
    <row r="85" ht="15.75">
      <c r="C85" s="265"/>
    </row>
  </sheetData>
  <sheetProtection selectLockedCells="1" selectUnlockedCells="1"/>
  <mergeCells count="6">
    <mergeCell ref="D21:E21"/>
    <mergeCell ref="A83:K83"/>
    <mergeCell ref="A5:K5"/>
    <mergeCell ref="D18:E18"/>
    <mergeCell ref="D19:E19"/>
    <mergeCell ref="D20:E20"/>
  </mergeCells>
  <printOptions/>
  <pageMargins left="0.9763888888888889" right="0.425" top="0.39791666666666664" bottom="0.39791666666666664" header="0.5118055555555555" footer="0.5118055555555555"/>
  <pageSetup fitToHeight="1" fitToWidth="1" horizontalDpi="300" verticalDpi="300" orientation="portrait" paperSize="9" scale="5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zoomScale="75" zoomScaleNormal="75" zoomScaleSheetLayoutView="80" zoomScalePageLayoutView="0" workbookViewId="0" topLeftCell="A1">
      <selection activeCell="B24" sqref="B24"/>
    </sheetView>
  </sheetViews>
  <sheetFormatPr defaultColWidth="8.796875" defaultRowHeight="15"/>
  <cols>
    <col min="1" max="1" width="9" style="27" customWidth="1"/>
    <col min="2" max="2" width="33" style="27" customWidth="1"/>
    <col min="3" max="3" width="9" style="27" customWidth="1"/>
    <col min="4" max="4" width="11.19921875" style="27" customWidth="1"/>
    <col min="5" max="6" width="0" style="27" hidden="1" customWidth="1"/>
    <col min="7" max="7" width="16" style="27" customWidth="1"/>
    <col min="8" max="8" width="56.69921875" style="27" customWidth="1"/>
    <col min="9" max="12" width="9" style="27" customWidth="1"/>
    <col min="13" max="13" width="13" style="27" customWidth="1"/>
    <col min="14" max="16384" width="9" style="27" customWidth="1"/>
  </cols>
  <sheetData>
    <row r="2" ht="15.75">
      <c r="H2" s="112" t="s">
        <v>788</v>
      </c>
    </row>
    <row r="3" ht="15.75">
      <c r="H3" s="112" t="s">
        <v>629</v>
      </c>
    </row>
    <row r="4" ht="15.75">
      <c r="H4" s="112" t="s">
        <v>630</v>
      </c>
    </row>
    <row r="5" ht="15.75">
      <c r="H5" s="112"/>
    </row>
    <row r="6" spans="1:12" ht="15.75" customHeight="1">
      <c r="A6" s="705" t="s">
        <v>216</v>
      </c>
      <c r="B6" s="705"/>
      <c r="C6" s="705"/>
      <c r="D6" s="705"/>
      <c r="E6" s="705"/>
      <c r="F6" s="705"/>
      <c r="G6" s="705"/>
      <c r="H6" s="705"/>
      <c r="I6" s="266"/>
      <c r="J6" s="266"/>
      <c r="K6" s="266"/>
      <c r="L6" s="266"/>
    </row>
    <row r="7" spans="1:12" ht="15.75" customHeight="1">
      <c r="A7" s="266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</row>
    <row r="8" ht="15.75">
      <c r="H8" s="112" t="s">
        <v>256</v>
      </c>
    </row>
    <row r="9" ht="15.75">
      <c r="H9" s="112" t="s">
        <v>631</v>
      </c>
    </row>
    <row r="10" ht="15.75">
      <c r="H10" s="112"/>
    </row>
    <row r="11" ht="15.75">
      <c r="H11" s="115" t="s">
        <v>259</v>
      </c>
    </row>
    <row r="12" ht="15.75">
      <c r="H12" s="112" t="s">
        <v>260</v>
      </c>
    </row>
    <row r="13" ht="15.75">
      <c r="H13" s="112" t="s">
        <v>261</v>
      </c>
    </row>
    <row r="15" spans="1:12" ht="15.75">
      <c r="A15" s="267"/>
      <c r="L15" s="268"/>
    </row>
    <row r="16" spans="1:12" ht="15.75">
      <c r="A16" s="27" t="s">
        <v>789</v>
      </c>
      <c r="L16" s="268"/>
    </row>
    <row r="17" ht="15.75">
      <c r="L17" s="268"/>
    </row>
    <row r="18" spans="1:12" ht="15.75" customHeight="1">
      <c r="A18" s="679" t="s">
        <v>790</v>
      </c>
      <c r="B18" s="679"/>
      <c r="C18" s="679"/>
      <c r="D18" s="679"/>
      <c r="E18" s="679"/>
      <c r="F18" s="679"/>
      <c r="G18" s="679"/>
      <c r="H18" s="679"/>
      <c r="I18" s="679"/>
      <c r="J18" s="679"/>
      <c r="L18" s="268"/>
    </row>
    <row r="19" spans="1:12" ht="15.75">
      <c r="A19" s="100"/>
      <c r="B19" s="100"/>
      <c r="C19" s="269"/>
      <c r="D19" s="269"/>
      <c r="E19" s="269"/>
      <c r="F19" s="269"/>
      <c r="G19" s="269"/>
      <c r="H19" s="269"/>
      <c r="I19" s="269"/>
      <c r="J19" s="269"/>
      <c r="L19" s="268"/>
    </row>
    <row r="20" spans="1:8" ht="28.5" customHeight="1">
      <c r="A20" s="706" t="s">
        <v>791</v>
      </c>
      <c r="B20" s="707" t="s">
        <v>792</v>
      </c>
      <c r="C20" s="707" t="s">
        <v>793</v>
      </c>
      <c r="D20" s="707"/>
      <c r="E20" s="707"/>
      <c r="F20" s="707"/>
      <c r="G20" s="708" t="s">
        <v>794</v>
      </c>
      <c r="H20" s="663" t="s">
        <v>795</v>
      </c>
    </row>
    <row r="21" spans="1:8" ht="28.5" customHeight="1">
      <c r="A21" s="706"/>
      <c r="B21" s="707"/>
      <c r="C21" s="707"/>
      <c r="D21" s="707"/>
      <c r="E21" s="707"/>
      <c r="F21" s="707"/>
      <c r="G21" s="708"/>
      <c r="H21" s="663"/>
    </row>
    <row r="22" spans="1:8" ht="31.5">
      <c r="A22" s="706"/>
      <c r="B22" s="707"/>
      <c r="C22" s="270" t="s">
        <v>796</v>
      </c>
      <c r="D22" s="270" t="s">
        <v>797</v>
      </c>
      <c r="E22" s="270" t="s">
        <v>796</v>
      </c>
      <c r="F22" s="270" t="s">
        <v>797</v>
      </c>
      <c r="G22" s="708"/>
      <c r="H22" s="663"/>
    </row>
    <row r="23" spans="1:8" ht="15.75">
      <c r="A23" s="125">
        <v>1</v>
      </c>
      <c r="B23" s="30">
        <v>2</v>
      </c>
      <c r="C23" s="270">
        <v>3</v>
      </c>
      <c r="D23" s="270">
        <v>4</v>
      </c>
      <c r="E23" s="270"/>
      <c r="F23" s="270"/>
      <c r="G23" s="271">
        <v>5</v>
      </c>
      <c r="H23" s="272">
        <v>6</v>
      </c>
    </row>
    <row r="24" spans="1:8" ht="15.75">
      <c r="A24" s="273">
        <v>1</v>
      </c>
      <c r="B24" s="274"/>
      <c r="C24" s="274"/>
      <c r="D24" s="274"/>
      <c r="E24" s="274"/>
      <c r="F24" s="274"/>
      <c r="G24" s="274"/>
      <c r="H24" s="275"/>
    </row>
    <row r="25" spans="1:8" ht="15.75">
      <c r="A25" s="273">
        <v>2</v>
      </c>
      <c r="B25" s="274"/>
      <c r="C25" s="274"/>
      <c r="D25" s="274"/>
      <c r="E25" s="274"/>
      <c r="F25" s="274"/>
      <c r="G25" s="274"/>
      <c r="H25" s="275"/>
    </row>
    <row r="26" spans="1:8" s="49" customFormat="1" ht="15.75">
      <c r="A26" s="276">
        <v>3</v>
      </c>
      <c r="B26" s="277"/>
      <c r="C26" s="277"/>
      <c r="D26" s="277"/>
      <c r="E26" s="277"/>
      <c r="F26" s="277"/>
      <c r="G26" s="277"/>
      <c r="H26" s="278"/>
    </row>
    <row r="27" spans="1:7" s="49" customFormat="1" ht="15.75">
      <c r="A27" s="279"/>
      <c r="B27" s="279"/>
      <c r="C27" s="279"/>
      <c r="D27" s="279"/>
      <c r="E27" s="279"/>
      <c r="F27" s="279"/>
      <c r="G27" s="279"/>
    </row>
    <row r="28" spans="1:8" s="49" customFormat="1" ht="15.75" customHeight="1">
      <c r="A28" s="703" t="s">
        <v>798</v>
      </c>
      <c r="B28" s="703"/>
      <c r="C28" s="703"/>
      <c r="D28" s="703"/>
      <c r="E28" s="703"/>
      <c r="F28" s="703"/>
      <c r="G28" s="703"/>
      <c r="H28" s="703"/>
    </row>
    <row r="29" spans="1:7" ht="15.75">
      <c r="A29" s="49"/>
      <c r="B29" s="704"/>
      <c r="C29" s="704"/>
      <c r="D29" s="280"/>
      <c r="E29" s="280"/>
      <c r="F29" s="281"/>
      <c r="G29" s="282"/>
    </row>
  </sheetData>
  <sheetProtection selectLockedCells="1" selectUnlockedCells="1"/>
  <mergeCells count="9">
    <mergeCell ref="A28:H28"/>
    <mergeCell ref="B29:C29"/>
    <mergeCell ref="A6:H6"/>
    <mergeCell ref="A18:J18"/>
    <mergeCell ref="A20:A22"/>
    <mergeCell ref="B20:B22"/>
    <mergeCell ref="C20:F21"/>
    <mergeCell ref="G20:G22"/>
    <mergeCell ref="H20:H22"/>
  </mergeCells>
  <printOptions/>
  <pageMargins left="0.9763888888888889" right="0.425" top="0.39791666666666664" bottom="0.39791666666666664" header="0.5118055555555555" footer="0.5118055555555555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2013-10-14T07:12:08Z</cp:lastPrinted>
  <dcterms:modified xsi:type="dcterms:W3CDTF">2014-01-17T05:47:16Z</dcterms:modified>
  <cp:category/>
  <cp:version/>
  <cp:contentType/>
  <cp:contentStatus/>
</cp:coreProperties>
</file>